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xl/drawings/drawing9.xml" ContentType="application/vnd.openxmlformats-officedocument.drawingml.chartshapes+xml"/>
  <Override PartName="/xl/charts/chart8.xml" ContentType="application/vnd.openxmlformats-officedocument.drawingml.chart+xml"/>
  <Override PartName="/xl/drawings/drawing10.xml" ContentType="application/vnd.openxmlformats-officedocument.drawing+xml"/>
  <Override PartName="/xl/charts/chart9.xml" ContentType="application/vnd.openxmlformats-officedocument.drawingml.chart+xml"/>
  <Override PartName="/xl/drawings/drawing11.xml" ContentType="application/vnd.openxmlformats-officedocument.drawing+xml"/>
  <Override PartName="/xl/drawings/drawing12.xml" ContentType="application/vnd.openxmlformats-officedocument.drawing+xml"/>
  <Override PartName="/xl/charts/chart10.xml" ContentType="application/vnd.openxmlformats-officedocument.drawingml.chart+xml"/>
  <Override PartName="/xl/drawings/drawing13.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14.xml" ContentType="application/vnd.openxmlformats-officedocument.drawing+xml"/>
  <Override PartName="/xl/charts/chart13.xml" ContentType="application/vnd.openxmlformats-officedocument.drawingml.chart+xml"/>
  <Override PartName="/xl/drawings/drawing15.xml" ContentType="application/vnd.openxmlformats-officedocument.drawingml.chartshapes+xml"/>
  <Override PartName="/xl/drawings/drawing16.xml" ContentType="application/vnd.openxmlformats-officedocument.drawing+xml"/>
  <Override PartName="/xl/charts/chart14.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harts/chart15.xml" ContentType="application/vnd.openxmlformats-officedocument.drawingml.chart+xml"/>
  <Override PartName="/xl/drawings/drawing19.xml" ContentType="application/vnd.openxmlformats-officedocument.drawingml.chartshapes+xml"/>
  <Override PartName="/xl/drawings/drawing20.xml" ContentType="application/vnd.openxmlformats-officedocument.drawing+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drawings/drawing21.xml" ContentType="application/vnd.openxmlformats-officedocument.drawing+xml"/>
  <Override PartName="/xl/charts/chart20.xml" ContentType="application/vnd.openxmlformats-officedocument.drawingml.chart+xml"/>
  <Override PartName="/xl/drawings/drawing22.xml" ContentType="application/vnd.openxmlformats-officedocument.drawingml.chartshapes+xml"/>
  <Override PartName="/xl/drawings/drawing23.xml" ContentType="application/vnd.openxmlformats-officedocument.drawing+xml"/>
  <Override PartName="/xl/charts/chart21.xml" ContentType="application/vnd.openxmlformats-officedocument.drawingml.chart+xml"/>
  <Override PartName="/xl/drawings/drawing24.xml" ContentType="application/vnd.openxmlformats-officedocument.drawing+xml"/>
  <Override PartName="/xl/charts/chart22.xml" ContentType="application/vnd.openxmlformats-officedocument.drawingml.chart+xml"/>
  <Override PartName="/xl/drawings/drawing25.xml" ContentType="application/vnd.openxmlformats-officedocument.drawing+xml"/>
  <Override PartName="/xl/charts/chart23.xml" ContentType="application/vnd.openxmlformats-officedocument.drawingml.chart+xml"/>
  <Override PartName="/xl/drawings/drawing26.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xWindow="9705" yWindow="-15" windowWidth="9510" windowHeight="11295" tabRatio="860"/>
  </bookViews>
  <sheets>
    <sheet name="Contents" sheetId="86" r:id="rId1"/>
    <sheet name="Notes" sheetId="93" r:id="rId2"/>
    <sheet name="Figure 1.1" sheetId="108" r:id="rId3"/>
    <sheet name="Table 3.1" sheetId="109" r:id="rId4"/>
    <sheet name="Figure 3.1" sheetId="94" r:id="rId5"/>
    <sheet name="Figure 3.2" sheetId="95" r:id="rId6"/>
    <sheet name="Figure 3.3" sheetId="96" r:id="rId7"/>
    <sheet name="Figure 3.4" sheetId="97" r:id="rId8"/>
    <sheet name="Figure 3.5" sheetId="90" r:id="rId9"/>
    <sheet name="Figure 3.6" sheetId="91" r:id="rId10"/>
    <sheet name="Figure 3.7" sheetId="98" r:id="rId11"/>
    <sheet name="Figure 3.8" sheetId="105" r:id="rId12"/>
    <sheet name="Figure 3.9" sheetId="99" r:id="rId13"/>
    <sheet name="Figure 3.10" sheetId="100" r:id="rId14"/>
    <sheet name="Figure 3.11" sheetId="106" r:id="rId15"/>
    <sheet name="Figure 3.12" sheetId="116" r:id="rId16"/>
    <sheet name="Table 4.1" sheetId="70" r:id="rId17"/>
    <sheet name="Table 4.2" sheetId="69" r:id="rId18"/>
    <sheet name="Table 5.1" sheetId="57" r:id="rId19"/>
    <sheet name="Figure 5.1" sheetId="113" r:id="rId20"/>
    <sheet name="Figure 5.2" sheetId="112" r:id="rId21"/>
    <sheet name="Figure 6.1" sheetId="110" r:id="rId22"/>
    <sheet name="Table 6.1" sheetId="71" r:id="rId23"/>
    <sheet name="Table 6.2" sheetId="111" r:id="rId24"/>
    <sheet name="Table A1" sheetId="56" r:id="rId25"/>
    <sheet name="Table A2" sheetId="68" r:id="rId26"/>
    <sheet name="Table A3" sheetId="67" r:id="rId27"/>
    <sheet name="Table A4" sheetId="58" r:id="rId28"/>
    <sheet name="Table A5" sheetId="66" r:id="rId29"/>
    <sheet name="Table A6" sheetId="59" r:id="rId30"/>
    <sheet name="Table A7" sheetId="65" r:id="rId31"/>
    <sheet name="Table A8" sheetId="61" r:id="rId32"/>
    <sheet name="Table A9" sheetId="84" r:id="rId33"/>
    <sheet name="Table A10" sheetId="64" r:id="rId34"/>
    <sheet name="Table A11" sheetId="63" r:id="rId35"/>
    <sheet name="Table A12" sheetId="81" r:id="rId36"/>
    <sheet name="Table A13" sheetId="114" r:id="rId37"/>
    <sheet name="Figure A1" sheetId="92" r:id="rId38"/>
    <sheet name="Table A14" sheetId="85" r:id="rId39"/>
  </sheets>
  <definedNames>
    <definedName name="_xlnm.Print_Area" localSheetId="0">Contents!$A$1:$D$55</definedName>
    <definedName name="_xlnm.Print_Area" localSheetId="1">Notes!$A$1:$C$30</definedName>
    <definedName name="_xlnm.Print_Area" localSheetId="3">'Table 3.1'!$A$1:$J$29</definedName>
    <definedName name="_xlnm.Print_Area" localSheetId="24">'Table A1'!$A$1:$M$56</definedName>
    <definedName name="_xlnm.Print_Area" localSheetId="33">'Table A10'!$A$1:$M$71</definedName>
    <definedName name="_xlnm.Print_Area" localSheetId="34">'Table A11'!$A$1:$M$64</definedName>
    <definedName name="_xlnm.Print_Area" localSheetId="35">'Table A12'!$A$1:$M$33</definedName>
    <definedName name="_xlnm.Print_Area" localSheetId="36">'Table A13'!$A$1:$K$37</definedName>
    <definedName name="_xlnm.Print_Area" localSheetId="25">'Table A2'!$A$1:$M$45</definedName>
    <definedName name="_xlnm.Print_Area" localSheetId="26">'Table A3'!$A$1:$M$45</definedName>
    <definedName name="_xlnm.Print_Area" localSheetId="28">'Table A5'!$A$1:$M$49</definedName>
    <definedName name="_xlnm.Print_Area" localSheetId="30">'Table A7'!$A$1:$M$49</definedName>
    <definedName name="_xlnm.Print_Area" localSheetId="31">'Table A8'!$A$1:$M$35</definedName>
    <definedName name="_xlnm.Print_Area" localSheetId="32">'Table A9'!$A$1:$M$35</definedName>
  </definedNames>
  <calcPr calcId="145621"/>
</workbook>
</file>

<file path=xl/calcChain.xml><?xml version="1.0" encoding="utf-8"?>
<calcChain xmlns="http://schemas.openxmlformats.org/spreadsheetml/2006/main">
  <c r="E33" i="112" l="1"/>
  <c r="B31" i="113"/>
  <c r="B42" i="113"/>
  <c r="B39" i="113"/>
  <c r="B38" i="113"/>
  <c r="B36" i="113"/>
  <c r="B37" i="113"/>
  <c r="B35" i="113"/>
  <c r="B34" i="113"/>
  <c r="B28" i="113"/>
  <c r="N35" i="92"/>
  <c r="N34" i="92"/>
  <c r="N31" i="92"/>
  <c r="B48" i="105" l="1"/>
  <c r="B4" i="109" l="1"/>
  <c r="C60" i="108" l="1"/>
  <c r="B60" i="108"/>
  <c r="C59" i="108"/>
  <c r="B59" i="108"/>
  <c r="C58" i="108"/>
  <c r="A63" i="108"/>
  <c r="A62" i="108"/>
  <c r="M35" i="92" l="1"/>
  <c r="M34" i="92"/>
  <c r="M31" i="92"/>
  <c r="L32" i="106" l="1"/>
  <c r="C22" i="100"/>
  <c r="B22" i="100"/>
  <c r="C21" i="100"/>
  <c r="B21" i="100"/>
  <c r="C20" i="100"/>
  <c r="B20" i="100"/>
  <c r="D19" i="100"/>
  <c r="C19" i="100"/>
  <c r="B19" i="100"/>
  <c r="A22" i="100"/>
  <c r="A21" i="100"/>
  <c r="A20" i="100"/>
  <c r="C22" i="109" l="1"/>
  <c r="C21" i="109"/>
  <c r="C18" i="109"/>
  <c r="C16" i="109"/>
  <c r="C17" i="109"/>
  <c r="C12" i="109"/>
  <c r="C11" i="109"/>
  <c r="C7" i="109"/>
  <c r="C6" i="109"/>
  <c r="D22" i="100"/>
  <c r="D21" i="100"/>
  <c r="E21" i="100" s="1"/>
  <c r="D20" i="100"/>
  <c r="E20" i="100" s="1"/>
  <c r="C23" i="63"/>
  <c r="B23" i="63"/>
  <c r="C18" i="63"/>
  <c r="B18" i="63"/>
  <c r="C13" i="63"/>
  <c r="B13" i="63"/>
  <c r="B31" i="112" l="1"/>
  <c r="K32" i="110" l="1"/>
  <c r="K40" i="110" s="1"/>
  <c r="J32" i="110" l="1"/>
  <c r="J33" i="110" s="1"/>
  <c r="K35" i="110"/>
  <c r="K36" i="110"/>
  <c r="K39" i="110"/>
  <c r="K33" i="110"/>
  <c r="L37" i="106"/>
  <c r="L36" i="106"/>
  <c r="L31" i="106"/>
  <c r="L33" i="106" s="1"/>
  <c r="L29" i="106"/>
  <c r="D35" i="99"/>
  <c r="D34" i="99"/>
  <c r="D33" i="99"/>
  <c r="D32" i="99"/>
  <c r="B35" i="99"/>
  <c r="B34" i="99"/>
  <c r="B33" i="99"/>
  <c r="B32" i="99"/>
  <c r="B56" i="105"/>
  <c r="B53" i="105"/>
  <c r="B52" i="105"/>
  <c r="B51" i="105"/>
  <c r="B46" i="105"/>
  <c r="B45" i="105" s="1"/>
  <c r="B47" i="105"/>
  <c r="B43" i="105"/>
  <c r="C48" i="105" s="1"/>
  <c r="M32" i="98"/>
  <c r="M33" i="98"/>
  <c r="M34" i="98"/>
  <c r="M35" i="98"/>
  <c r="M36" i="98"/>
  <c r="B33" i="97"/>
  <c r="B35" i="97"/>
  <c r="B34" i="97"/>
  <c r="B32" i="97"/>
  <c r="B30" i="97"/>
  <c r="B29" i="97"/>
  <c r="B28" i="97"/>
  <c r="B27" i="97"/>
  <c r="D29" i="96"/>
  <c r="D28" i="96"/>
  <c r="D27" i="96"/>
  <c r="B29" i="96"/>
  <c r="B28" i="96"/>
  <c r="B27" i="96"/>
  <c r="H32" i="99" l="1"/>
  <c r="E48" i="105"/>
  <c r="I48" i="105"/>
  <c r="M39" i="98"/>
  <c r="M40" i="98"/>
  <c r="M41" i="98"/>
  <c r="L38" i="106"/>
  <c r="F34" i="99" l="1"/>
  <c r="F32" i="99"/>
  <c r="F33" i="99"/>
  <c r="F35" i="99"/>
  <c r="C43" i="105"/>
  <c r="D59" i="108"/>
  <c r="B58" i="108"/>
  <c r="D58" i="108"/>
  <c r="E23" i="109"/>
  <c r="E22" i="109"/>
  <c r="E21" i="109"/>
  <c r="E18" i="109"/>
  <c r="E17" i="109"/>
  <c r="E16" i="109"/>
  <c r="E13" i="109"/>
  <c r="E12" i="109"/>
  <c r="E11" i="109"/>
  <c r="E8" i="109"/>
  <c r="E7" i="109"/>
  <c r="E6" i="109"/>
  <c r="B22" i="109"/>
  <c r="B21" i="109"/>
  <c r="B17" i="109"/>
  <c r="B16" i="109"/>
  <c r="B12" i="109"/>
  <c r="B11" i="109"/>
  <c r="B7" i="109"/>
  <c r="B6" i="109"/>
  <c r="E4" i="109"/>
  <c r="F4" i="109" s="1"/>
  <c r="C4" i="109"/>
  <c r="B23" i="109" l="1"/>
  <c r="B18" i="109" l="1"/>
  <c r="F29" i="96"/>
  <c r="F28" i="96"/>
  <c r="F27" i="96"/>
  <c r="B8" i="109"/>
  <c r="B13" i="109"/>
  <c r="K32" i="98"/>
  <c r="L32" i="98"/>
  <c r="K33" i="98"/>
  <c r="K34" i="98"/>
  <c r="K35" i="98"/>
  <c r="K36" i="98"/>
  <c r="D31" i="112" l="1"/>
  <c r="C31" i="112"/>
  <c r="A39" i="112"/>
  <c r="A38" i="112"/>
  <c r="K37" i="106"/>
  <c r="K32" i="106"/>
  <c r="L36" i="98"/>
  <c r="L35" i="98"/>
  <c r="L34" i="98"/>
  <c r="L33" i="98"/>
  <c r="L41" i="98" l="1"/>
  <c r="L39" i="98"/>
  <c r="L40" i="98"/>
  <c r="K55" i="100" l="1"/>
  <c r="A56" i="100"/>
  <c r="J55" i="100" l="1"/>
  <c r="J56" i="100" s="1"/>
  <c r="J58" i="100" s="1"/>
  <c r="K56" i="100"/>
  <c r="K57" i="100" s="1"/>
  <c r="I55" i="100" l="1"/>
  <c r="I56" i="100" s="1"/>
  <c r="K58" i="100"/>
  <c r="J57" i="100"/>
  <c r="H55" i="100" l="1"/>
  <c r="H56" i="100" s="1"/>
  <c r="I57" i="100"/>
  <c r="I58" i="100"/>
  <c r="G55" i="100" l="1"/>
  <c r="G56" i="100" s="1"/>
  <c r="H58" i="100"/>
  <c r="H57" i="100"/>
  <c r="F55" i="100" l="1"/>
  <c r="F56" i="100" s="1"/>
  <c r="G58" i="100"/>
  <c r="G57" i="100"/>
  <c r="E55" i="100" l="1"/>
  <c r="E56" i="100" s="1"/>
  <c r="F57" i="100"/>
  <c r="F58" i="100"/>
  <c r="D55" i="100" l="1"/>
  <c r="D56" i="100" s="1"/>
  <c r="E57" i="100"/>
  <c r="E58" i="100"/>
  <c r="C55" i="100" l="1"/>
  <c r="C56" i="100" s="1"/>
  <c r="D58" i="100"/>
  <c r="D57" i="100"/>
  <c r="B55" i="100" l="1"/>
  <c r="B56" i="100" s="1"/>
  <c r="B57" i="100" s="1"/>
  <c r="C58" i="100"/>
  <c r="C57" i="100"/>
  <c r="B58" i="100" l="1"/>
  <c r="C13" i="109" l="1"/>
  <c r="C8" i="109"/>
  <c r="C23" i="109"/>
  <c r="P31" i="92"/>
  <c r="A2" i="116" l="1"/>
  <c r="C31" i="116"/>
  <c r="D31" i="116"/>
  <c r="E31" i="116"/>
  <c r="F31" i="116"/>
  <c r="C32" i="116"/>
  <c r="D32" i="116"/>
  <c r="E32" i="116"/>
  <c r="F32" i="116"/>
  <c r="C33" i="116"/>
  <c r="D33" i="116"/>
  <c r="E33" i="116"/>
  <c r="F33" i="116"/>
  <c r="B33" i="116"/>
  <c r="B32" i="116"/>
  <c r="B31" i="116"/>
  <c r="A38" i="116"/>
  <c r="A37" i="116"/>
  <c r="A36" i="116"/>
  <c r="A30" i="116"/>
  <c r="A1" i="116"/>
  <c r="H31" i="116" l="1"/>
  <c r="G31" i="116"/>
  <c r="I31" i="116"/>
  <c r="K31" i="116"/>
  <c r="J31" i="116"/>
  <c r="A2" i="85" l="1"/>
  <c r="A55" i="86" s="1"/>
  <c r="B55" i="86" s="1"/>
  <c r="A1" i="85"/>
  <c r="A2" i="92"/>
  <c r="A54" i="86" s="1"/>
  <c r="A1" i="92"/>
  <c r="F38" i="116"/>
  <c r="E38" i="116"/>
  <c r="D38" i="116"/>
  <c r="C38" i="116"/>
  <c r="B38" i="116"/>
  <c r="F37" i="116"/>
  <c r="E37" i="116"/>
  <c r="D37" i="116"/>
  <c r="C37" i="116"/>
  <c r="B37" i="116"/>
  <c r="F36" i="116"/>
  <c r="E36" i="116"/>
  <c r="D36" i="116"/>
  <c r="C36" i="116"/>
  <c r="B36" i="116"/>
  <c r="A2" i="114"/>
  <c r="A51" i="86" s="1"/>
  <c r="A1" i="114"/>
  <c r="A2" i="81"/>
  <c r="A1" i="81"/>
  <c r="C27" i="63"/>
  <c r="B27" i="63"/>
  <c r="C8" i="63"/>
  <c r="B8" i="63"/>
  <c r="A2" i="63"/>
  <c r="A1" i="63"/>
  <c r="C33" i="64"/>
  <c r="B33" i="64"/>
  <c r="C28" i="64"/>
  <c r="B28" i="64"/>
  <c r="C23" i="64"/>
  <c r="B23" i="64"/>
  <c r="B18" i="64"/>
  <c r="C17" i="64"/>
  <c r="C16" i="64"/>
  <c r="C10" i="64"/>
  <c r="B10" i="64"/>
  <c r="C8" i="64"/>
  <c r="B8" i="64"/>
  <c r="A2" i="64"/>
  <c r="A1" i="64"/>
  <c r="M65" i="84"/>
  <c r="L65" i="84"/>
  <c r="K65" i="84"/>
  <c r="J65" i="84"/>
  <c r="I65" i="84"/>
  <c r="H65" i="84"/>
  <c r="G65" i="84"/>
  <c r="F65" i="84"/>
  <c r="E65" i="84"/>
  <c r="D65" i="84"/>
  <c r="C65" i="84"/>
  <c r="B65" i="84"/>
  <c r="M64" i="84"/>
  <c r="L64" i="84"/>
  <c r="K64" i="84"/>
  <c r="J64" i="84"/>
  <c r="I64" i="84"/>
  <c r="H64" i="84"/>
  <c r="G64" i="84"/>
  <c r="F64" i="84"/>
  <c r="E64" i="84"/>
  <c r="D64" i="84"/>
  <c r="C64" i="84"/>
  <c r="B64" i="84"/>
  <c r="M63" i="84"/>
  <c r="L63" i="84"/>
  <c r="K63" i="84"/>
  <c r="J63" i="84"/>
  <c r="I63" i="84"/>
  <c r="H63" i="84"/>
  <c r="G63" i="84"/>
  <c r="F63" i="84"/>
  <c r="E63" i="84"/>
  <c r="D63" i="84"/>
  <c r="C63" i="84"/>
  <c r="B63" i="84"/>
  <c r="M62" i="84"/>
  <c r="L62" i="84"/>
  <c r="K62" i="84"/>
  <c r="J62" i="84"/>
  <c r="I62" i="84"/>
  <c r="H62" i="84"/>
  <c r="G62" i="84"/>
  <c r="F62" i="84"/>
  <c r="E62" i="84"/>
  <c r="D62" i="84"/>
  <c r="C62" i="84"/>
  <c r="B62" i="84"/>
  <c r="A2" i="84"/>
  <c r="A47" i="86" s="1"/>
  <c r="B47" i="86" s="1"/>
  <c r="A1" i="84"/>
  <c r="A2" i="61"/>
  <c r="A46" i="86" s="1"/>
  <c r="B46" i="86" s="1"/>
  <c r="A1" i="61"/>
  <c r="A2" i="65"/>
  <c r="A45" i="86" s="1"/>
  <c r="B45" i="86" s="1"/>
  <c r="A1" i="65"/>
  <c r="A2" i="59"/>
  <c r="A44" i="86" s="1"/>
  <c r="B44" i="86" s="1"/>
  <c r="A1" i="59"/>
  <c r="A2" i="66"/>
  <c r="A28" i="90" s="1"/>
  <c r="A29" i="90" s="1"/>
  <c r="A1" i="66"/>
  <c r="A2" i="58"/>
  <c r="A42" i="86" s="1"/>
  <c r="B42" i="86" s="1"/>
  <c r="A1" i="58"/>
  <c r="A2" i="67"/>
  <c r="A24" i="97" s="1"/>
  <c r="A25" i="97" s="1"/>
  <c r="A1" i="67"/>
  <c r="C20" i="68"/>
  <c r="B20" i="68"/>
  <c r="C14" i="68"/>
  <c r="C15" i="68" s="1"/>
  <c r="C13" i="68"/>
  <c r="B13" i="68"/>
  <c r="C8" i="68"/>
  <c r="B8" i="68"/>
  <c r="A2" i="68"/>
  <c r="A1" i="68"/>
  <c r="C32" i="56"/>
  <c r="B32" i="56"/>
  <c r="C28" i="56"/>
  <c r="B28" i="56"/>
  <c r="C23" i="56"/>
  <c r="B23" i="56"/>
  <c r="C18" i="56"/>
  <c r="B18" i="56"/>
  <c r="C13" i="56"/>
  <c r="B13" i="56"/>
  <c r="C8" i="56"/>
  <c r="B8" i="56"/>
  <c r="A2" i="56"/>
  <c r="A1" i="56"/>
  <c r="B19" i="111"/>
  <c r="A2" i="111"/>
  <c r="A36" i="86" s="1"/>
  <c r="B36" i="86" s="1"/>
  <c r="A1" i="111"/>
  <c r="C13" i="71"/>
  <c r="B13" i="71"/>
  <c r="C8" i="71"/>
  <c r="B8" i="71"/>
  <c r="A2" i="71"/>
  <c r="A52" i="108" s="1"/>
  <c r="A53" i="108" s="1"/>
  <c r="A1" i="71"/>
  <c r="A40" i="110"/>
  <c r="A39" i="110"/>
  <c r="A38" i="110"/>
  <c r="A35" i="110"/>
  <c r="A34" i="110"/>
  <c r="A2" i="110"/>
  <c r="A34" i="86" s="1"/>
  <c r="B34" i="86" s="1"/>
  <c r="A1" i="110"/>
  <c r="A37" i="112"/>
  <c r="B26" i="112"/>
  <c r="A2" i="112"/>
  <c r="A31" i="86" s="1"/>
  <c r="B31" i="86" s="1"/>
  <c r="A1" i="112"/>
  <c r="F42" i="113"/>
  <c r="D42" i="113"/>
  <c r="A42" i="113"/>
  <c r="E42" i="113" s="1"/>
  <c r="C41" i="113"/>
  <c r="D41" i="113" s="1"/>
  <c r="E41" i="113" s="1"/>
  <c r="A41" i="113"/>
  <c r="F39" i="113"/>
  <c r="E39" i="113"/>
  <c r="D39" i="113"/>
  <c r="F38" i="113"/>
  <c r="E38" i="113"/>
  <c r="D38" i="113"/>
  <c r="F37" i="113"/>
  <c r="E37" i="113"/>
  <c r="D37" i="113"/>
  <c r="F36" i="113"/>
  <c r="E36" i="113"/>
  <c r="D36" i="113"/>
  <c r="F35" i="113"/>
  <c r="E35" i="113"/>
  <c r="D35" i="113"/>
  <c r="F34" i="113"/>
  <c r="E34" i="113"/>
  <c r="D34" i="113"/>
  <c r="C33" i="113"/>
  <c r="D33" i="113" s="1"/>
  <c r="E33" i="113" s="1"/>
  <c r="A33" i="113"/>
  <c r="F31" i="113"/>
  <c r="E31" i="113"/>
  <c r="D31" i="113"/>
  <c r="C30" i="113"/>
  <c r="D30" i="113" s="1"/>
  <c r="A30" i="113"/>
  <c r="E28" i="113"/>
  <c r="A28" i="113"/>
  <c r="B24" i="113"/>
  <c r="A2" i="113"/>
  <c r="A30" i="86" s="1"/>
  <c r="B30" i="86" s="1"/>
  <c r="A1" i="113"/>
  <c r="A2" i="57"/>
  <c r="A29" i="86" s="1"/>
  <c r="B29" i="86" s="1"/>
  <c r="A1" i="57"/>
  <c r="A2" i="69"/>
  <c r="A26" i="86" s="1"/>
  <c r="B26" i="86" s="1"/>
  <c r="A1" i="69"/>
  <c r="A2" i="70"/>
  <c r="A46" i="108" s="1"/>
  <c r="A47" i="108" s="1"/>
  <c r="A1" i="70"/>
  <c r="A38" i="106"/>
  <c r="A37" i="106"/>
  <c r="K36" i="106"/>
  <c r="A36" i="106"/>
  <c r="K31" i="106"/>
  <c r="K33" i="106" s="1"/>
  <c r="A30" i="106"/>
  <c r="K29" i="106"/>
  <c r="B29" i="106"/>
  <c r="A2" i="106"/>
  <c r="A22" i="86" s="1"/>
  <c r="B22" i="86" s="1"/>
  <c r="A1" i="106"/>
  <c r="A2" i="100"/>
  <c r="A21" i="86" s="1"/>
  <c r="B21" i="86" s="1"/>
  <c r="A1" i="100"/>
  <c r="A35" i="99"/>
  <c r="A45" i="99" s="1"/>
  <c r="A34" i="99"/>
  <c r="A44" i="99" s="1"/>
  <c r="A33" i="99"/>
  <c r="A43" i="99" s="1"/>
  <c r="A32" i="99"/>
  <c r="A42" i="99" s="1"/>
  <c r="A2" i="99"/>
  <c r="A20" i="86" s="1"/>
  <c r="B20" i="86" s="1"/>
  <c r="A1" i="99"/>
  <c r="A56" i="105"/>
  <c r="A55" i="105"/>
  <c r="A53" i="105"/>
  <c r="A52" i="105"/>
  <c r="A51" i="105"/>
  <c r="A50" i="105"/>
  <c r="A47" i="105"/>
  <c r="A46" i="105"/>
  <c r="A45" i="105"/>
  <c r="A43" i="105"/>
  <c r="I41" i="105"/>
  <c r="A2" i="105"/>
  <c r="A19" i="86" s="1"/>
  <c r="B19" i="86" s="1"/>
  <c r="A1" i="105"/>
  <c r="J36" i="98"/>
  <c r="I36" i="98"/>
  <c r="H36" i="98"/>
  <c r="G36" i="98"/>
  <c r="F36" i="98"/>
  <c r="E36" i="98"/>
  <c r="D36" i="98"/>
  <c r="C36" i="98"/>
  <c r="B36" i="98"/>
  <c r="A36" i="98"/>
  <c r="A41" i="98" s="1"/>
  <c r="J35" i="98"/>
  <c r="I35" i="98"/>
  <c r="H35" i="98"/>
  <c r="G35" i="98"/>
  <c r="F35" i="98"/>
  <c r="E35" i="98"/>
  <c r="D35" i="98"/>
  <c r="C35" i="98"/>
  <c r="B35" i="98"/>
  <c r="A35" i="98"/>
  <c r="A40" i="98" s="1"/>
  <c r="J34" i="98"/>
  <c r="I34" i="98"/>
  <c r="H34" i="98"/>
  <c r="G34" i="98"/>
  <c r="F34" i="98"/>
  <c r="E34" i="98"/>
  <c r="D34" i="98"/>
  <c r="C34" i="98"/>
  <c r="B34" i="98"/>
  <c r="A34" i="98"/>
  <c r="A39" i="98" s="1"/>
  <c r="J33" i="98"/>
  <c r="I33" i="98"/>
  <c r="H33" i="98"/>
  <c r="G33" i="98"/>
  <c r="F33" i="98"/>
  <c r="E33" i="98"/>
  <c r="D33" i="98"/>
  <c r="C33" i="98"/>
  <c r="B33" i="98"/>
  <c r="A33" i="98"/>
  <c r="J32" i="98"/>
  <c r="I32" i="98"/>
  <c r="H32" i="98"/>
  <c r="G32" i="98"/>
  <c r="F32" i="98"/>
  <c r="E32" i="98"/>
  <c r="D32" i="98"/>
  <c r="C32" i="98"/>
  <c r="B32" i="98"/>
  <c r="A2" i="98"/>
  <c r="A18" i="86" s="1"/>
  <c r="B18" i="86" s="1"/>
  <c r="A1" i="98"/>
  <c r="A2" i="91"/>
  <c r="A17" i="86" s="1"/>
  <c r="B17" i="86" s="1"/>
  <c r="A1" i="91"/>
  <c r="A2" i="90"/>
  <c r="A16" i="86" s="1"/>
  <c r="B16" i="86" s="1"/>
  <c r="A1" i="90"/>
  <c r="A35" i="97"/>
  <c r="A34" i="97"/>
  <c r="A33" i="97"/>
  <c r="A32" i="97"/>
  <c r="A30" i="97"/>
  <c r="A29" i="97"/>
  <c r="A28" i="97"/>
  <c r="A27" i="97"/>
  <c r="A2" i="97"/>
  <c r="A15" i="86" s="1"/>
  <c r="B15" i="86" s="1"/>
  <c r="A1" i="97"/>
  <c r="A29" i="96"/>
  <c r="A28" i="96"/>
  <c r="A2" i="96"/>
  <c r="A14" i="86" s="1"/>
  <c r="B14" i="86" s="1"/>
  <c r="A1" i="96"/>
  <c r="A2" i="95"/>
  <c r="A13" i="86" s="1"/>
  <c r="B13" i="86" s="1"/>
  <c r="A1" i="95"/>
  <c r="A2" i="94"/>
  <c r="A12" i="86" s="1"/>
  <c r="B12" i="86" s="1"/>
  <c r="A1" i="94"/>
  <c r="D57" i="108"/>
  <c r="C57" i="108"/>
  <c r="B57" i="108"/>
  <c r="E57" i="108" s="1"/>
  <c r="D4" i="109"/>
  <c r="A2" i="109"/>
  <c r="A1" i="109"/>
  <c r="E60" i="108"/>
  <c r="E59" i="108"/>
  <c r="A2" i="108"/>
  <c r="A8" i="86" s="1"/>
  <c r="A1" i="108"/>
  <c r="A2" i="93"/>
  <c r="A1" i="93"/>
  <c r="B5" i="86"/>
  <c r="B33" i="56" l="1"/>
  <c r="B54" i="86"/>
  <c r="B41" i="98"/>
  <c r="C18" i="64"/>
  <c r="C39" i="98"/>
  <c r="B40" i="98"/>
  <c r="E40" i="98"/>
  <c r="I40" i="98"/>
  <c r="C41" i="98"/>
  <c r="F41" i="98"/>
  <c r="J41" i="98"/>
  <c r="B39" i="98"/>
  <c r="E39" i="98"/>
  <c r="I39" i="98"/>
  <c r="C40" i="98"/>
  <c r="F40" i="98"/>
  <c r="J40" i="98"/>
  <c r="G41" i="98"/>
  <c r="E41" i="98"/>
  <c r="I41" i="98"/>
  <c r="F39" i="98"/>
  <c r="J39" i="98"/>
  <c r="G40" i="98"/>
  <c r="D41" i="98"/>
  <c r="H41" i="98"/>
  <c r="A37" i="99"/>
  <c r="G39" i="98"/>
  <c r="D40" i="98"/>
  <c r="H40" i="98"/>
  <c r="D39" i="98"/>
  <c r="H39" i="98"/>
  <c r="C51" i="105"/>
  <c r="I51" i="105" s="1"/>
  <c r="C53" i="105"/>
  <c r="I53" i="105" s="1"/>
  <c r="C45" i="105"/>
  <c r="I45" i="105" s="1"/>
  <c r="H45" i="105" s="1"/>
  <c r="H50" i="105" s="1"/>
  <c r="K38" i="106"/>
  <c r="E43" i="105"/>
  <c r="C46" i="105"/>
  <c r="I46" i="105" s="1"/>
  <c r="B50" i="105"/>
  <c r="C50" i="105" s="1"/>
  <c r="I50" i="105" s="1"/>
  <c r="C52" i="105"/>
  <c r="E52" i="105" s="1"/>
  <c r="E30" i="113"/>
  <c r="F59" i="108"/>
  <c r="E22" i="100"/>
  <c r="B40" i="99"/>
  <c r="B38" i="99"/>
  <c r="A39" i="99"/>
  <c r="B37" i="99"/>
  <c r="B39" i="99"/>
  <c r="A38" i="99"/>
  <c r="A40" i="99"/>
  <c r="C56" i="105"/>
  <c r="I56" i="105" s="1"/>
  <c r="C47" i="105"/>
  <c r="I47" i="105" s="1"/>
  <c r="B55" i="105"/>
  <c r="K39" i="98"/>
  <c r="K40" i="98"/>
  <c r="K41" i="98"/>
  <c r="C27" i="97"/>
  <c r="E27" i="97" s="1"/>
  <c r="C28" i="97"/>
  <c r="E28" i="97" s="1"/>
  <c r="C29" i="97"/>
  <c r="E29" i="97" s="1"/>
  <c r="C30" i="97"/>
  <c r="E30" i="97" s="1"/>
  <c r="C32" i="97"/>
  <c r="E32" i="97" s="1"/>
  <c r="C33" i="97"/>
  <c r="E33" i="97" s="1"/>
  <c r="C34" i="97"/>
  <c r="E34" i="97" s="1"/>
  <c r="C35" i="97"/>
  <c r="E35" i="97" s="1"/>
  <c r="C33" i="56"/>
  <c r="D6" i="109"/>
  <c r="F7" i="109"/>
  <c r="D12" i="109"/>
  <c r="F13" i="109"/>
  <c r="D18" i="109"/>
  <c r="F21" i="109"/>
  <c r="F6" i="109"/>
  <c r="F12" i="109"/>
  <c r="F18" i="109"/>
  <c r="B51" i="86"/>
  <c r="B8" i="86"/>
  <c r="B56" i="108"/>
  <c r="E56" i="108" s="1"/>
  <c r="D8" i="109"/>
  <c r="D16" i="109"/>
  <c r="D22" i="109"/>
  <c r="F57" i="108"/>
  <c r="D11" i="109"/>
  <c r="D17" i="109"/>
  <c r="D23" i="109"/>
  <c r="F11" i="109"/>
  <c r="F17" i="109"/>
  <c r="F23" i="109"/>
  <c r="C56" i="108"/>
  <c r="F56" i="108" s="1"/>
  <c r="D7" i="109"/>
  <c r="F8" i="109"/>
  <c r="D13" i="109"/>
  <c r="F16" i="109"/>
  <c r="D21" i="109"/>
  <c r="F22" i="109"/>
  <c r="A50" i="86"/>
  <c r="A43" i="116"/>
  <c r="A44" i="116" s="1"/>
  <c r="F58" i="108"/>
  <c r="E58" i="108"/>
  <c r="A38" i="105"/>
  <c r="A39" i="105" s="1"/>
  <c r="A43" i="106"/>
  <c r="A44" i="106" s="1"/>
  <c r="D60" i="108"/>
  <c r="F60" i="108" s="1"/>
  <c r="A43" i="86"/>
  <c r="B43" i="86" s="1"/>
  <c r="A29" i="98"/>
  <c r="A30" i="98" s="1"/>
  <c r="A25" i="86"/>
  <c r="A49" i="108"/>
  <c r="A50" i="108" s="1"/>
  <c r="A29" i="91"/>
  <c r="A30" i="91" s="1"/>
  <c r="A29" i="110"/>
  <c r="A30" i="110" s="1"/>
  <c r="A35" i="86"/>
  <c r="A41" i="86"/>
  <c r="A39" i="86"/>
  <c r="A29" i="95"/>
  <c r="A30" i="95" s="1"/>
  <c r="A29" i="94"/>
  <c r="A30" i="94" s="1"/>
  <c r="A28" i="109"/>
  <c r="A29" i="109" s="1"/>
  <c r="A28" i="99"/>
  <c r="A29" i="99" s="1"/>
  <c r="A48" i="86"/>
  <c r="A16" i="100"/>
  <c r="A17" i="100" s="1"/>
  <c r="A52" i="100"/>
  <c r="A53" i="100" s="1"/>
  <c r="A49" i="86"/>
  <c r="A11" i="86"/>
  <c r="A43" i="108"/>
  <c r="A44" i="108" s="1"/>
  <c r="A40" i="86"/>
  <c r="A40" i="92"/>
  <c r="A41" i="92" s="1"/>
  <c r="A23" i="96"/>
  <c r="A24" i="96" s="1"/>
  <c r="C12" i="86"/>
  <c r="C54" i="86"/>
  <c r="C19" i="86"/>
  <c r="C13" i="86"/>
  <c r="C26" i="86"/>
  <c r="C42" i="86"/>
  <c r="C16" i="86"/>
  <c r="C51" i="86"/>
  <c r="C55" i="86"/>
  <c r="C30" i="86"/>
  <c r="C45" i="86"/>
  <c r="C29" i="86"/>
  <c r="C20" i="86"/>
  <c r="C21" i="86"/>
  <c r="C31" i="86"/>
  <c r="C22" i="86"/>
  <c r="C14" i="86"/>
  <c r="C47" i="86"/>
  <c r="C36" i="86"/>
  <c r="C44" i="86"/>
  <c r="C46" i="86"/>
  <c r="C18" i="86"/>
  <c r="C34" i="86"/>
  <c r="C8" i="86"/>
  <c r="C15" i="86"/>
  <c r="C17" i="86"/>
  <c r="E53" i="105" l="1"/>
  <c r="E45" i="105"/>
  <c r="H46" i="105"/>
  <c r="H47" i="105" s="1"/>
  <c r="E51" i="105"/>
  <c r="E56" i="105"/>
  <c r="G50" i="105"/>
  <c r="E46" i="105"/>
  <c r="E50" i="105"/>
  <c r="I52" i="105"/>
  <c r="E47" i="105"/>
  <c r="H51" i="105"/>
  <c r="H55" i="105"/>
  <c r="H56" i="105" s="1"/>
  <c r="G56" i="105" s="1"/>
  <c r="C55" i="105"/>
  <c r="I55" i="105" s="1"/>
  <c r="D56" i="108"/>
  <c r="G56" i="108" s="1"/>
  <c r="B50" i="86"/>
  <c r="B25" i="86"/>
  <c r="B41" i="86"/>
  <c r="B35" i="86"/>
  <c r="B11" i="86"/>
  <c r="B48" i="86"/>
  <c r="B49" i="86"/>
  <c r="B39" i="86"/>
  <c r="B40" i="86"/>
  <c r="C25" i="86"/>
  <c r="C48" i="86"/>
  <c r="C11" i="86"/>
  <c r="C39" i="86"/>
  <c r="C49" i="86"/>
  <c r="C35" i="86"/>
  <c r="C41" i="86"/>
  <c r="C43" i="86"/>
  <c r="C40" i="86"/>
  <c r="C50" i="86"/>
  <c r="G47" i="105" l="1"/>
  <c r="H48" i="105"/>
  <c r="G48" i="105" s="1"/>
  <c r="G46" i="105"/>
  <c r="G55" i="105"/>
  <c r="H52" i="105"/>
  <c r="G51" i="105"/>
  <c r="E55" i="105"/>
  <c r="H53" i="105" l="1"/>
  <c r="G53" i="105" s="1"/>
  <c r="G52" i="105"/>
  <c r="J35" i="110" l="1"/>
  <c r="J39" i="110"/>
  <c r="J40" i="110"/>
  <c r="J36" i="110"/>
  <c r="I32" i="110"/>
  <c r="I40" i="110" l="1"/>
  <c r="I33" i="110"/>
  <c r="I36" i="110"/>
  <c r="I39" i="110"/>
  <c r="H32" i="110"/>
  <c r="H33" i="110" s="1"/>
  <c r="I35" i="110"/>
  <c r="H35" i="110" l="1"/>
  <c r="H39" i="110"/>
  <c r="G32" i="110"/>
  <c r="G33" i="110" s="1"/>
  <c r="H36" i="110"/>
  <c r="H40" i="110"/>
  <c r="G39" i="110" l="1"/>
  <c r="G36" i="110"/>
  <c r="F32" i="110"/>
  <c r="F33" i="110" s="1"/>
  <c r="G40" i="110"/>
  <c r="G35" i="110"/>
  <c r="F36" i="110" l="1"/>
  <c r="F39" i="110"/>
  <c r="F35" i="110"/>
  <c r="E32" i="110"/>
  <c r="E33" i="110" s="1"/>
  <c r="F40" i="110"/>
  <c r="E36" i="110" l="1"/>
  <c r="E39" i="110"/>
  <c r="D32" i="110"/>
  <c r="D33" i="110" s="1"/>
  <c r="E40" i="110"/>
  <c r="E35" i="110"/>
  <c r="D36" i="110" l="1"/>
  <c r="C32" i="110"/>
  <c r="C33" i="110" s="1"/>
  <c r="D39" i="110"/>
  <c r="D35" i="110"/>
  <c r="D40" i="110"/>
  <c r="C35" i="110" l="1"/>
  <c r="B32" i="110"/>
  <c r="B33" i="110" s="1"/>
  <c r="C40" i="110"/>
  <c r="C39" i="110"/>
  <c r="C36" i="110"/>
  <c r="B35" i="110" l="1"/>
  <c r="B40" i="110"/>
  <c r="B39" i="110"/>
  <c r="B36" i="110"/>
</calcChain>
</file>

<file path=xl/sharedStrings.xml><?xml version="1.0" encoding="utf-8"?>
<sst xmlns="http://schemas.openxmlformats.org/spreadsheetml/2006/main" count="1097" uniqueCount="290">
  <si>
    <t>&lt;5</t>
  </si>
  <si>
    <t>2012-13</t>
  </si>
  <si>
    <t>Postgraduate</t>
  </si>
  <si>
    <t>First Degree</t>
  </si>
  <si>
    <t>Full Fees</t>
  </si>
  <si>
    <t>Half Fees</t>
  </si>
  <si>
    <t>Other Fees</t>
  </si>
  <si>
    <t>Fee Loans</t>
  </si>
  <si>
    <t>Income Assessed Loan</t>
  </si>
  <si>
    <t>Additional Income Assessed Loan</t>
  </si>
  <si>
    <t xml:space="preserve">Travel Expenses </t>
  </si>
  <si>
    <t>Lone Parents Grant</t>
  </si>
  <si>
    <t>Disabled Students Allowance</t>
  </si>
  <si>
    <t xml:space="preserve">Adhoc Payments </t>
  </si>
  <si>
    <t xml:space="preserve">Adjustment Payments </t>
  </si>
  <si>
    <t>2010-11</t>
  </si>
  <si>
    <t>Students Entitled</t>
  </si>
  <si>
    <t>Other institution</t>
  </si>
  <si>
    <t>Scotland</t>
  </si>
  <si>
    <t>-</t>
  </si>
  <si>
    <t>Total Support</t>
  </si>
  <si>
    <t>Number of Students</t>
  </si>
  <si>
    <t>2003-04</t>
  </si>
  <si>
    <t>2004-05</t>
  </si>
  <si>
    <t>2005-06</t>
  </si>
  <si>
    <t>2006-07</t>
  </si>
  <si>
    <t>2007-08</t>
  </si>
  <si>
    <t>2008-09</t>
  </si>
  <si>
    <t>2009-10</t>
  </si>
  <si>
    <t>Total</t>
  </si>
  <si>
    <t>Scottish Domiciles</t>
  </si>
  <si>
    <t>EU Domiciles</t>
  </si>
  <si>
    <t>In Scotland</t>
  </si>
  <si>
    <t>Other</t>
  </si>
  <si>
    <t>Outwith Scotland</t>
  </si>
  <si>
    <t>17 and under</t>
  </si>
  <si>
    <t>25 and over</t>
  </si>
  <si>
    <t>Female</t>
  </si>
  <si>
    <t>Male</t>
  </si>
  <si>
    <t>Dyslexia</t>
  </si>
  <si>
    <t>Any Support</t>
  </si>
  <si>
    <t>Fees</t>
  </si>
  <si>
    <t>Loans</t>
  </si>
  <si>
    <t>Average Amount (£)</t>
  </si>
  <si>
    <t>Notes</t>
  </si>
  <si>
    <t>Missing</t>
  </si>
  <si>
    <t>Average per student</t>
  </si>
  <si>
    <t>Autistic spectrum disorder</t>
  </si>
  <si>
    <t>Deafblind</t>
  </si>
  <si>
    <t>Hearing impairment</t>
  </si>
  <si>
    <t>Language or speech disorder</t>
  </si>
  <si>
    <t>Learning disability</t>
  </si>
  <si>
    <t>Mental health problem</t>
  </si>
  <si>
    <t>Other moderate learning difficulty</t>
  </si>
  <si>
    <t>Other specific learning difficulty ( e.g. numeric)</t>
  </si>
  <si>
    <t>Physical health problem</t>
  </si>
  <si>
    <t>Physical or motor impairment</t>
  </si>
  <si>
    <t>Social, emotional and behavioural difficulty</t>
  </si>
  <si>
    <t>Visual impairment</t>
  </si>
  <si>
    <t>2011-12</t>
  </si>
  <si>
    <t>Independent Students Bursary</t>
  </si>
  <si>
    <t>2013-14</t>
  </si>
  <si>
    <t>Universities</t>
  </si>
  <si>
    <t>Colleges</t>
  </si>
  <si>
    <t>18 to 20</t>
  </si>
  <si>
    <t>21 to 24</t>
  </si>
  <si>
    <t>Bursary</t>
  </si>
  <si>
    <t>All</t>
  </si>
  <si>
    <t>Total award payments</t>
  </si>
  <si>
    <t>Any disability type</t>
  </si>
  <si>
    <t>&gt;&gt; Contents</t>
  </si>
  <si>
    <t>Other instititution</t>
  </si>
  <si>
    <t>Students in Receipt</t>
  </si>
  <si>
    <t>Non-Income Assessed Loan</t>
  </si>
  <si>
    <t>Source data</t>
  </si>
  <si>
    <t>Scottish domiciles</t>
  </si>
  <si>
    <t>EU domiciles</t>
  </si>
  <si>
    <t>Number of students</t>
  </si>
  <si>
    <t>Discretionary Fund</t>
  </si>
  <si>
    <t>Instances of assistance</t>
  </si>
  <si>
    <t>Other undergraduate</t>
  </si>
  <si>
    <t>All Applications</t>
  </si>
  <si>
    <t>By Domicile</t>
  </si>
  <si>
    <t>Amounts issued (£000s)</t>
  </si>
  <si>
    <t>See also</t>
  </si>
  <si>
    <t>Award definitions</t>
  </si>
  <si>
    <t>Data source</t>
  </si>
  <si>
    <t>Reporting conventions</t>
  </si>
  <si>
    <t>Important information</t>
  </si>
  <si>
    <t>•</t>
  </si>
  <si>
    <t xml:space="preserve">"Supported students" are are those receiving fees or fee loans and/or awards and/or who have been authorised for maintenance loans
</t>
  </si>
  <si>
    <t xml:space="preserve">"Fees" includes all tuition fees and fee loans.
</t>
  </si>
  <si>
    <t xml:space="preserve">Student loan entitlement is calculated by SAAS but the Student Loans Company (SLC) extends the loan. These figures relate to entitlement rather than uptake which may be lower. Prior to 1999-00 students applied for a loan through their institution.
</t>
  </si>
  <si>
    <t xml:space="preserve">Total student numbers count each student once, though each student may be entitled to more than one award. For this reason, total numbers of students may be lower than the sum of the constituent parts.
</t>
  </si>
  <si>
    <t xml:space="preserve">Student numbers are rounded to the nearest 5 (e.g. 1,2 round to 0; 3,4 round to 5).
</t>
  </si>
  <si>
    <t xml:space="preserve">Cash totals may not equal the sum of their constituent parts due to rounding.
</t>
  </si>
  <si>
    <t>"Real terms" totals are calculated by applying GDP deflators to the total amount of support in cash terms.</t>
  </si>
  <si>
    <t>Fee loans were introduced in 2006-07 for students studying outside Scotland and are included in 2006-07, 2007-08 and 2008-09 fees totals.</t>
  </si>
  <si>
    <t>Postgraduate student numbers include those doing Post Graduate Diploma in Education and Post Graduate Diploma in Community Education courses even though such students are funded in the same way as undergraduates.</t>
  </si>
  <si>
    <t>Other undergraduates' include students at Adult Education colleges who are funded under the Adult Education Allowances Scheme up to and including 2008-09. The scheme was discontinued from academic year 2009-10 onwards.</t>
  </si>
  <si>
    <t xml:space="preserve">Total figures may not be equal to the sum of the parts due to a small number of students each year whose level of study is not known. </t>
  </si>
  <si>
    <t xml:space="preserve">"Full fees" – the normal public fee rates. </t>
  </si>
  <si>
    <t>"Other institution" types include NHS colleges, theological colleges, Adult Education colleges and others.</t>
  </si>
  <si>
    <t>"Other fees" – there are a few private institutions that get more than the public fee rate (usually theology-related).</t>
  </si>
  <si>
    <t>Also takes account of the income assessed fees i.e. cases where SAAS pay some of the normal public fee rate and the student pays the rest.</t>
  </si>
  <si>
    <t>result of changes in 2006-07 can have the difference paid by SAAS so they are not penalised by the new higher rates.</t>
  </si>
  <si>
    <t>In addition students who have had a break of study of a year or more and whose college or university is charging a fee rate higher as a</t>
  </si>
  <si>
    <t>"Half fees" – paid to students on work placements or those on years abroad where they attend their home institution for less than 10 weeks.</t>
  </si>
  <si>
    <t>Fee loans were introduced for eligible students who started their course in academic year 2006-07 and were studying outside Scotland</t>
  </si>
  <si>
    <t xml:space="preserve">in the rest of the UK. </t>
  </si>
  <si>
    <t>This will include those who have declared their income and those who want the loan but did not declare the income, as it may be too high.</t>
  </si>
  <si>
    <t>"Non Income Assessed Loan" – The total number of students receiving the part of the loan where income is irrelevant.</t>
  </si>
  <si>
    <t>"Income Assessed Loan" – Only includes those who have declared income (or are independent and get max loan) and the income is low</t>
  </si>
  <si>
    <t>enough to ensure they get some or all of the income assessed loan. Most students in this category also get the non income assessed loan.</t>
  </si>
  <si>
    <t>loan and the non income assessed loan, therefore students in this category are also included in the categories above.</t>
  </si>
  <si>
    <t>"Additional Income Assessed loan" – small extra loan available to those on very low incomes.  Paid in addition to the income assessed</t>
  </si>
  <si>
    <t>Standard Maintenance Allowance (Postgraduates)</t>
  </si>
  <si>
    <t>"Standard Maintenance Allowance (Postgraduates)" - postgraduate students excluding PGDE.</t>
  </si>
  <si>
    <t>Standard Maintenance Allowance (Undergraduates)</t>
  </si>
  <si>
    <t>"Standard Maintenance Allowance (Undergraduates)" - includes undergraduate and PGDE students as they receive the same support package.</t>
  </si>
  <si>
    <t>Student Outside Scotland Bursary</t>
  </si>
  <si>
    <t>Dependants Grant</t>
  </si>
  <si>
    <t>School Meals Grant</t>
  </si>
  <si>
    <t>Lone Parents Childcare Grant</t>
  </si>
  <si>
    <t>Young Students Bursary</t>
  </si>
  <si>
    <t>Young Students Outside Scotland Bursary</t>
  </si>
  <si>
    <t>support only and those whose income is so low that they receive the full support package.</t>
  </si>
  <si>
    <t>"Income not declared/required" - includes those who have not declared income because they have applied for non-income assessed</t>
  </si>
  <si>
    <t>by SAAS.  The difference between the amount allocated by SAAS and the amounts distributed to students is returned to SAAS each year as</t>
  </si>
  <si>
    <t>unused funds.</t>
  </si>
  <si>
    <t>Amount (£ million)</t>
  </si>
  <si>
    <t>Total support</t>
  </si>
  <si>
    <t>Average support per student</t>
  </si>
  <si>
    <t>Percentage of supported students</t>
  </si>
  <si>
    <t>Average per student (£)</t>
  </si>
  <si>
    <t>"Average per student" shows the average amount received for those students who actually receive that loan element.</t>
  </si>
  <si>
    <t>Normal public fee rates</t>
  </si>
  <si>
    <t>E.g. those on work placement</t>
  </si>
  <si>
    <t>Students taking out a Fee Loan to pay their tuition fees</t>
  </si>
  <si>
    <t>Eligibility criteria for Additional Income Assessed Loan revised in 2010-11</t>
  </si>
  <si>
    <t>Area</t>
  </si>
  <si>
    <t>Area (10x20)</t>
  </si>
  <si>
    <t>Height</t>
  </si>
  <si>
    <t>Width</t>
  </si>
  <si>
    <t>All DSA recipients</t>
  </si>
  <si>
    <t>Disability: Dyslexia</t>
  </si>
  <si>
    <t>Disability: Any other</t>
  </si>
  <si>
    <t>Amount £ million</t>
  </si>
  <si>
    <t>Total paid</t>
  </si>
  <si>
    <t>Total authorised</t>
  </si>
  <si>
    <t>Average loan authorised</t>
  </si>
  <si>
    <t>Amount</t>
  </si>
  <si>
    <t>Key Findings</t>
  </si>
  <si>
    <t>Amount of support (£ million)</t>
  </si>
  <si>
    <t>Bursary / Scholarship</t>
  </si>
  <si>
    <t>Support to students</t>
  </si>
  <si>
    <t>Disability diagnosis costs</t>
  </si>
  <si>
    <t>Equipment</t>
  </si>
  <si>
    <t>Administration of scheme</t>
  </si>
  <si>
    <t>Average per assistance (£)</t>
  </si>
  <si>
    <t>Short-term loans not repaid in the academic year</t>
  </si>
  <si>
    <t>Bursaries and grants</t>
  </si>
  <si>
    <t>Living Cost Grants</t>
  </si>
  <si>
    <t>Scottish Government Health Directorate Bursary</t>
  </si>
  <si>
    <t>Bursaries and Grants</t>
  </si>
  <si>
    <t/>
  </si>
  <si>
    <t>Any support</t>
  </si>
  <si>
    <t>Total Allocation (£ million)</t>
  </si>
  <si>
    <t>Total Amount Paid 
(£ million)</t>
  </si>
  <si>
    <t>2014-15</t>
  </si>
  <si>
    <t>GDP deflator</t>
  </si>
  <si>
    <t>Amounts issued (£ million)</t>
  </si>
  <si>
    <t>Amounts issued 
(£ million)</t>
  </si>
  <si>
    <t>Average paid per student</t>
  </si>
  <si>
    <t>*</t>
  </si>
  <si>
    <t>Undergraduate</t>
  </si>
  <si>
    <t>NMSB</t>
  </si>
  <si>
    <t>PTFG</t>
  </si>
  <si>
    <t>Number</t>
  </si>
  <si>
    <t>Support</t>
  </si>
  <si>
    <t>Average</t>
  </si>
  <si>
    <t>Number text</t>
  </si>
  <si>
    <t>Support text</t>
  </si>
  <si>
    <t>% all students who had applied by September</t>
  </si>
  <si>
    <t>£24,000 to £33,999</t>
  </si>
  <si>
    <t>£34,000 and above</t>
  </si>
  <si>
    <t xml:space="preserve">           </t>
  </si>
  <si>
    <t>Those students with income £34,000 and above but receiving a bursaries and grants are mainly those who received</t>
  </si>
  <si>
    <t>Disabled Students Allowance (DSA) or provided provisional income estimates when first applying which was below the</t>
  </si>
  <si>
    <t>£34,000 threshold, though on providing income evidence were determined to be above the threshold and so were subsequently</t>
  </si>
  <si>
    <t>identified as having "overpayments" which will be sought to be recovered.</t>
  </si>
  <si>
    <t>Substantial change to support packages in 2013-14, more emphasis on loans</t>
  </si>
  <si>
    <t xml:space="preserve">"Bursaries and grants" refers to all non-repayable bursaries and supplementary grants that are paid out by SAAS.
</t>
  </si>
  <si>
    <t xml:space="preserve">“Average per student” amounts are rounded to nearest £10.
</t>
  </si>
  <si>
    <t xml:space="preserve">Cash totals are rounded to the nearest thousand and are quoted in millions (£ million) (e.g. 67.3 is £67,300,000)
</t>
  </si>
  <si>
    <t>Student Nurses Bursary</t>
  </si>
  <si>
    <t>Initial Expenses</t>
  </si>
  <si>
    <t>Placement Expenses</t>
  </si>
  <si>
    <t>Dependants Allowance</t>
  </si>
  <si>
    <t>Childcare Allowance</t>
  </si>
  <si>
    <t>Single Parents Allowance</t>
  </si>
  <si>
    <t>Number of students who had applied:</t>
  </si>
  <si>
    <t>by end of session</t>
  </si>
  <si>
    <t>by September within session</t>
  </si>
  <si>
    <t>Number of suported students:</t>
  </si>
  <si>
    <t>% all supported students by end of session</t>
  </si>
  <si>
    <t>Average per instance (£)</t>
  </si>
  <si>
    <t>Discretionary and Childcare Funds</t>
  </si>
  <si>
    <t>@ indicates the average amount of support per student or instances of support</t>
  </si>
  <si>
    <t>Total Support (excluding Fees)</t>
  </si>
  <si>
    <t>Substantial changes to loan system in 2013-14 mean concepts of "non-income" and "income" assessed loans are not comparable with previous years</t>
  </si>
  <si>
    <t>Discretionary Childcare Fund</t>
  </si>
  <si>
    <t>Full-time students (Undergraduate and PSAS schemes)</t>
  </si>
  <si>
    <t>Part-time students (PTFG scheme)</t>
  </si>
  <si>
    <t>Nursing and Midwifery students (NMSB scheme)</t>
  </si>
  <si>
    <t>Discretionary and Discretionary Childcare Funds</t>
  </si>
  <si>
    <t>Data Tables - Full-time students</t>
  </si>
  <si>
    <t>Support schemes</t>
  </si>
  <si>
    <t>The "Part-time Fee Grant" (PTFG) scheme provides tuition fee support to certain part-time and part-time distance learning students.</t>
  </si>
  <si>
    <t xml:space="preserve">"Undergraduate" scheme provides support to students studying full-time on relevant undergraduate courses.  This includes those studying for a Professional Graduate Diploma in Education (PGDE).
</t>
  </si>
  <si>
    <t>The "Postgraduate Students' Allowances Scheme" (PSAS) provides support to full-time students studying on certain postgraduate courses.</t>
  </si>
  <si>
    <t>Additional support is provided to students experiencing financial difficulties through the Higher Education "Discretionary Fund" and "Discretionary Childcare Fund", which are provided by universities and colleges in Scotland.</t>
  </si>
  <si>
    <t>Students can receive help from both the Discretionary Fund and the Discretionary Childcare Fund in the same year so the differing amounts</t>
  </si>
  <si>
    <t>cannot be summed to a total. Furthermore, as students can receive help more than once in an academic year from each fund there may be</t>
  </si>
  <si>
    <t>an element of double counting in the student numbers for each fund.</t>
  </si>
  <si>
    <t>For the Discretionary Childcare Fund, we do not have a figure for number of students assisted.  However we do have the number of students</t>
  </si>
  <si>
    <t>who applied and the number of students who had their application refused so have supplied the net number as this should equal the number</t>
  </si>
  <si>
    <t>of students assisted.</t>
  </si>
  <si>
    <t>The "Amounts issued" by institutions figures are the amounts distributed to students by institutions and not the total amount allocated</t>
  </si>
  <si>
    <t>receiving no bursary</t>
  </si>
  <si>
    <t>Income not declared/required</t>
  </si>
  <si>
    <t>Tuition Fees</t>
  </si>
  <si>
    <t>~</t>
  </si>
  <si>
    <t>2015-16</t>
  </si>
  <si>
    <t>Offset</t>
  </si>
  <si>
    <t>~ Missing gender information not recorded in previous years</t>
  </si>
  <si>
    <t>Year:</t>
  </si>
  <si>
    <t>Bursary and grants</t>
  </si>
  <si>
    <t>← 20% most deprived</t>
  </si>
  <si>
    <t>20% least deprived →</t>
  </si>
  <si>
    <t>Analysis is based on those students where the provided home address is a valid Scottish postcode.  Home address is that provided</t>
  </si>
  <si>
    <t>address as being the home address.  As such the analysis may not reflect the actual residence circumstances of the students.</t>
  </si>
  <si>
    <t>by the student and may not necessarily reflect where there permanent residence is - for example, they may declare their term-time</t>
  </si>
  <si>
    <t>SIMD identifies small area concentrations of multiple deprivation across all of Scotland in a consistent way.  The SIMD ranks small areas</t>
  </si>
  <si>
    <t>ranks in to five equal sized groups, such as the 20% most deprived areas in Scotland.</t>
  </si>
  <si>
    <t xml:space="preserve">Prior to 2013-14 there were two forms of part-time support, a part-time fee grant from SAAS and a fee waiver scheme which was operated by the institutions and funded by the Scottish Funding Council.  The Part-time Fee Grant offered a grant of up to £500 towards the cost of tuition fees if students had an individual income of £22,000 a year or less, be studying a Higher Education course, Professional Development Award or Continuing Professional Development at levels 7-10 of the SCQF and complete at least 40 SCQF credits per year.  They must also be studying at a Scottish Institution.   From academic year 2013-14 the separate funding streams were brought together to create a single system of part-time fee support for students attending universities and private institutions.  The scheme is administered by SAAS providing a simpler more transparent system for students. 
</t>
  </si>
  <si>
    <t>2016-17</t>
  </si>
  <si>
    <t>Multiple disabilities</t>
  </si>
  <si>
    <t>Unseen disability</t>
  </si>
  <si>
    <t>Fees and fee loans</t>
  </si>
  <si>
    <t>Average support £</t>
  </si>
  <si>
    <t>Up to £18,999</t>
  </si>
  <si>
    <t>£19,000 to £23,999</t>
  </si>
  <si>
    <t>2017-18</t>
  </si>
  <si>
    <t xml:space="preserve">All information is derived from SAAS management information system.
</t>
  </si>
  <si>
    <t>DSA only</t>
  </si>
  <si>
    <t>Disability Type*</t>
  </si>
  <si>
    <t>*Excludes students claiming DSA only</t>
  </si>
  <si>
    <t>Such as private institutions who get a slightly different rate of tuition fee, or medicine students in fifth year of study</t>
  </si>
  <si>
    <t>Disabled Students Allowance*</t>
  </si>
  <si>
    <t>5.1**</t>
  </si>
  <si>
    <t>**In 2015-16, an additional £125 in bursary support (paid as a separate one off payment) was paid to eligible students receiving either the Young Students’ Bursary (YSB) with a household income under £24,000 or Independent Students’ Bursary (ISB) with a household income under £19,000.  This payment was then incorporated into the increased maximum bursary payment for 2016-17.</t>
  </si>
  <si>
    <t>38,375**</t>
  </si>
  <si>
    <t>*Excludes students claiming DSA only.  Analysis on these students can be seen in table A12.</t>
  </si>
  <si>
    <t>The "Nursing and Midwifery Student Bursary" (NMSB) scheme provides support to students undertaking courses in pre-registration nursing or midwifery leading to the award of a degree.</t>
  </si>
  <si>
    <t>Fees and Fee Loans</t>
  </si>
  <si>
    <t>Higher Education Student Support in Scotland 2017-18</t>
  </si>
  <si>
    <t>Early analysis 2018-19 session</t>
  </si>
  <si>
    <r>
      <t>2017-18</t>
    </r>
    <r>
      <rPr>
        <b/>
        <vertAlign val="superscript"/>
        <sz val="12"/>
        <rFont val="Calibri"/>
        <family val="2"/>
        <scheme val="minor"/>
      </rPr>
      <t>p</t>
    </r>
  </si>
  <si>
    <t xml:space="preserve">  NMSB 2016-17 are full year figures and published for the first time in this release</t>
  </si>
  <si>
    <r>
      <rPr>
        <vertAlign val="superscript"/>
        <sz val="12"/>
        <rFont val="Calibri"/>
        <family val="2"/>
        <scheme val="minor"/>
      </rPr>
      <t>p</t>
    </r>
    <r>
      <rPr>
        <sz val="12"/>
        <rFont val="Calibri"/>
        <family val="2"/>
        <scheme val="minor"/>
      </rPr>
      <t xml:space="preserve"> NMSB 2017-18 are provisional as a small number of January 2018 intake of students have not completed full year of support</t>
    </r>
  </si>
  <si>
    <t>Academic year 2016-17 is the latest for information</t>
  </si>
  <si>
    <t>2018-19</t>
  </si>
  <si>
    <t>General living expenses</t>
  </si>
  <si>
    <t>Travel</t>
  </si>
  <si>
    <t>Childcare</t>
  </si>
  <si>
    <t xml:space="preserve">   Care Experienced Bursary</t>
  </si>
  <si>
    <t>Undergraduate Loans</t>
  </si>
  <si>
    <t>Postgraduate Loan</t>
  </si>
  <si>
    <t xml:space="preserve">This is a measure of government expenditure in 2017-18 prices (June 2018, Quarterly National Accounts). </t>
  </si>
  <si>
    <t>Total support, real terms 2017-18 prices</t>
  </si>
  <si>
    <t>Care Experienced Bursary</t>
  </si>
  <si>
    <t>receiving max ISB/YSB bursary</t>
  </si>
  <si>
    <t>receiving CEB bursary</t>
  </si>
  <si>
    <t>receiving less than max ISB/YSB bursary</t>
  </si>
  <si>
    <t>Analysis presented in publication</t>
  </si>
  <si>
    <t xml:space="preserve">All years relate to academic years (e.g. 2017-18 is session 1 August 2017 to 31 July 2018).
</t>
  </si>
  <si>
    <t xml:space="preserve">"Real terms" totals are calculated by applying GDP deflators to the total amount of support in cash terms. This is a measure of government expenditure in 2017-18 prices.
</t>
  </si>
  <si>
    <t>SIMD: Scottish Index of Multiple Deprivation 2016</t>
  </si>
  <si>
    <t>(called datazones)  from most deprived (ranked 1) to least deprived (ranked 6,976).  Analysis here is based on quintiles which split the</t>
  </si>
</sst>
</file>

<file path=xl/styles.xml><?xml version="1.0" encoding="utf-8"?>
<styleSheet xmlns="http://schemas.openxmlformats.org/spreadsheetml/2006/main" xmlns:mc="http://schemas.openxmlformats.org/markup-compatibility/2006" xmlns:x14ac="http://schemas.microsoft.com/office/spreadsheetml/2009/9/ac" mc:Ignorable="x14ac">
  <numFmts count="26">
    <numFmt numFmtId="41" formatCode="_-* #,##0_-;\-* #,##0_-;_-* &quot;-&quot;_-;_-@_-"/>
    <numFmt numFmtId="44" formatCode="_-&quot;£&quot;* #,##0.00_-;\-&quot;£&quot;* #,##0.00_-;_-&quot;£&quot;* &quot;-&quot;??_-;_-@_-"/>
    <numFmt numFmtId="43" formatCode="_-* #,##0.00_-;\-* #,##0.00_-;_-* &quot;-&quot;??_-;_-@_-"/>
    <numFmt numFmtId="164" formatCode="0.0%"/>
    <numFmt numFmtId="165" formatCode="0.0"/>
    <numFmt numFmtId="166" formatCode="#,##0.0"/>
    <numFmt numFmtId="167" formatCode="&quot;£&quot;#,##0"/>
    <numFmt numFmtId="168" formatCode="&quot;£&quot;#,##0.0\ &quot;M&quot;"/>
    <numFmt numFmtId="169" formatCode="#,##0.000"/>
    <numFmt numFmtId="170" formatCode="&quot;£&quot;0.0\ &quot;M&quot;"/>
    <numFmt numFmtId="171" formatCode="&quot;£&quot;#,##0.0\ &quot;m&quot;"/>
    <numFmt numFmtId="172" formatCode="0.000"/>
    <numFmt numFmtId="173" formatCode="_-* #,##0_-;\-* #,##0_-;_-* &quot;-&quot;??_-;_-@_-"/>
    <numFmt numFmtId="174" formatCode="0.0000"/>
    <numFmt numFmtId="175" formatCode="#\ ##0"/>
    <numFmt numFmtId="176" formatCode="&quot;to &quot;0.0000;&quot;to &quot;\-0.0000;&quot;to 0&quot;"/>
    <numFmt numFmtId="177" formatCode="#,##0;\-#,##0;\-"/>
    <numFmt numFmtId="178" formatCode="[&lt;0.0001]&quot;&lt;0.0001&quot;;0.0000"/>
    <numFmt numFmtId="179" formatCode="#,##0.0,,;\-#,##0.0,,;\-"/>
    <numFmt numFmtId="180" formatCode="#,##0,;\-#,##0,;\-"/>
    <numFmt numFmtId="181" formatCode="0.0%;\-0.0%;\-"/>
    <numFmt numFmtId="182" formatCode="#,##0.0,,;\-#,##0.0,,"/>
    <numFmt numFmtId="183" formatCode="#,##0,;\-#,##0,"/>
    <numFmt numFmtId="184" formatCode="0.0%;\-0.0%"/>
    <numFmt numFmtId="185" formatCode="#,##0.0_-;\(#,##0.0\);_-* &quot;-&quot;??_-"/>
    <numFmt numFmtId="186" formatCode="_-[$€-2]* #,##0.00_-;\-[$€-2]* #,##0.00_-;_-[$€-2]* &quot;-&quot;??_-"/>
  </numFmts>
  <fonts count="99">
    <font>
      <sz val="10"/>
      <name val="Arial"/>
    </font>
    <font>
      <sz val="11"/>
      <color theme="1"/>
      <name val="Calibri"/>
      <family val="2"/>
      <scheme val="minor"/>
    </font>
    <font>
      <sz val="10"/>
      <name val="Arial"/>
      <family val="2"/>
    </font>
    <font>
      <sz val="8"/>
      <name val="Arial"/>
      <family val="2"/>
    </font>
    <font>
      <u/>
      <sz val="10"/>
      <color indexed="12"/>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name val="Arial"/>
      <family val="2"/>
    </font>
    <font>
      <sz val="12"/>
      <name val="Calibri"/>
      <family val="2"/>
    </font>
    <font>
      <sz val="12"/>
      <name val="Calibri"/>
      <family val="2"/>
      <scheme val="minor"/>
    </font>
    <font>
      <b/>
      <sz val="12"/>
      <name val="Calibri"/>
      <family val="2"/>
      <scheme val="minor"/>
    </font>
    <font>
      <i/>
      <sz val="12"/>
      <name val="Calibri"/>
      <family val="2"/>
      <scheme val="minor"/>
    </font>
    <font>
      <b/>
      <u/>
      <sz val="12"/>
      <name val="Calibri"/>
      <family val="2"/>
      <scheme val="minor"/>
    </font>
    <font>
      <sz val="10"/>
      <color rgb="FF574123"/>
      <name val="Tahoma"/>
      <family val="2"/>
    </font>
    <font>
      <b/>
      <i/>
      <sz val="12"/>
      <name val="Calibri"/>
      <family val="2"/>
      <scheme val="minor"/>
    </font>
    <font>
      <b/>
      <i/>
      <sz val="12"/>
      <color theme="0" tint="-0.499984740745262"/>
      <name val="Calibri"/>
      <family val="2"/>
      <scheme val="minor"/>
    </font>
    <font>
      <b/>
      <sz val="14"/>
      <name val="Calibri"/>
      <family val="2"/>
      <scheme val="minor"/>
    </font>
    <font>
      <i/>
      <sz val="11"/>
      <name val="Calibri"/>
      <family val="2"/>
      <scheme val="minor"/>
    </font>
    <font>
      <sz val="10"/>
      <name val="Calibri"/>
      <family val="2"/>
      <scheme val="minor"/>
    </font>
    <font>
      <sz val="12"/>
      <color theme="0" tint="-0.249977111117893"/>
      <name val="Calibri"/>
      <family val="2"/>
      <scheme val="minor"/>
    </font>
    <font>
      <b/>
      <sz val="12"/>
      <color theme="0" tint="-0.249977111117893"/>
      <name val="Calibri"/>
      <family val="2"/>
      <scheme val="minor"/>
    </font>
    <font>
      <sz val="12"/>
      <color theme="0" tint="-0.34998626667073579"/>
      <name val="Calibri"/>
      <family val="2"/>
      <scheme val="minor"/>
    </font>
    <font>
      <b/>
      <sz val="12"/>
      <color theme="0" tint="-0.34998626667073579"/>
      <name val="Calibri"/>
      <family val="2"/>
      <scheme val="minor"/>
    </font>
    <font>
      <sz val="12"/>
      <color theme="0"/>
      <name val="Calibri"/>
      <family val="2"/>
      <scheme val="minor"/>
    </font>
    <font>
      <i/>
      <sz val="12"/>
      <color theme="0" tint="-0.34998626667073579"/>
      <name val="Calibri"/>
      <family val="2"/>
      <scheme val="minor"/>
    </font>
    <font>
      <b/>
      <sz val="18"/>
      <color theme="0"/>
      <name val="Calibri"/>
      <family val="2"/>
      <scheme val="minor"/>
    </font>
    <font>
      <b/>
      <i/>
      <sz val="12"/>
      <color theme="0"/>
      <name val="Calibri"/>
      <family val="2"/>
      <scheme val="minor"/>
    </font>
    <font>
      <b/>
      <sz val="14"/>
      <color theme="0"/>
      <name val="Calibri"/>
      <family val="2"/>
      <scheme val="minor"/>
    </font>
    <font>
      <b/>
      <sz val="12"/>
      <color theme="0"/>
      <name val="Calibri"/>
      <family val="2"/>
      <scheme val="minor"/>
    </font>
    <font>
      <sz val="12"/>
      <color rgb="FFFF0000"/>
      <name val="Calibri"/>
      <family val="2"/>
      <scheme val="minor"/>
    </font>
    <font>
      <b/>
      <vertAlign val="superscript"/>
      <sz val="12"/>
      <name val="Calibri"/>
      <family val="2"/>
      <scheme val="minor"/>
    </font>
    <font>
      <vertAlign val="superscript"/>
      <sz val="12"/>
      <name val="Calibri"/>
      <family val="2"/>
      <scheme val="minor"/>
    </font>
    <font>
      <i/>
      <sz val="12"/>
      <color rgb="FFFF0000"/>
      <name val="Calibri"/>
      <family val="2"/>
      <scheme val="minor"/>
    </font>
    <font>
      <b/>
      <sz val="11"/>
      <color theme="1"/>
      <name val="Calibri"/>
      <family val="2"/>
    </font>
    <font>
      <b/>
      <sz val="12"/>
      <color theme="1"/>
      <name val="Calibri"/>
      <family val="2"/>
    </font>
    <font>
      <b/>
      <sz val="10"/>
      <color theme="0" tint="-0.249977111117893"/>
      <name val="Arial"/>
      <family val="2"/>
    </font>
    <font>
      <sz val="10"/>
      <name val="Arial"/>
      <family val="2"/>
    </font>
    <font>
      <sz val="12"/>
      <color theme="0" tint="-0.14999847407452621"/>
      <name val="Calibri"/>
      <family val="2"/>
      <scheme val="minor"/>
    </font>
    <font>
      <sz val="10"/>
      <color theme="1"/>
      <name val="Arial"/>
      <family val="2"/>
    </font>
    <font>
      <i/>
      <sz val="10"/>
      <name val="Arial"/>
      <family val="2"/>
    </font>
    <font>
      <sz val="10"/>
      <name val="System"/>
    </font>
    <font>
      <sz val="10"/>
      <name val="System"/>
      <family val="2"/>
    </font>
    <font>
      <u/>
      <sz val="10"/>
      <color indexed="12"/>
      <name val="System"/>
      <family val="2"/>
    </font>
    <font>
      <b/>
      <sz val="10"/>
      <color indexed="18"/>
      <name val="Arial"/>
      <family val="2"/>
    </font>
    <font>
      <sz val="9"/>
      <name val="Arial"/>
      <family val="2"/>
    </font>
    <font>
      <sz val="8"/>
      <name val="Times New Roman"/>
      <family val="1"/>
    </font>
    <font>
      <i/>
      <sz val="8"/>
      <name val="Times New Roman"/>
      <family val="1"/>
    </font>
    <font>
      <b/>
      <sz val="9"/>
      <color indexed="18"/>
      <name val="Arial"/>
      <family val="2"/>
    </font>
    <font>
      <b/>
      <sz val="9"/>
      <color indexed="8"/>
      <name val="Arial"/>
      <family val="2"/>
    </font>
    <font>
      <b/>
      <i/>
      <sz val="10"/>
      <name val="Arial"/>
      <family val="2"/>
    </font>
    <font>
      <sz val="7"/>
      <name val="Arial"/>
      <family val="2"/>
    </font>
    <font>
      <sz val="10"/>
      <color indexed="8"/>
      <name val="Arial"/>
      <family val="2"/>
    </font>
    <font>
      <b/>
      <sz val="10"/>
      <name val="Tahoma"/>
      <family val="2"/>
    </font>
    <font>
      <sz val="10"/>
      <name val="Tahoma"/>
      <family val="2"/>
    </font>
    <font>
      <i/>
      <sz val="7"/>
      <name val="Arial"/>
      <family val="2"/>
    </font>
    <font>
      <b/>
      <sz val="8"/>
      <name val="Arial"/>
      <family val="2"/>
    </font>
    <font>
      <b/>
      <sz val="8"/>
      <color indexed="12"/>
      <name val="Arial"/>
      <family val="2"/>
    </font>
    <font>
      <i/>
      <sz val="8"/>
      <color indexed="12"/>
      <name val="Arial"/>
      <family val="2"/>
    </font>
    <font>
      <i/>
      <sz val="8"/>
      <name val="Arial"/>
      <family val="2"/>
    </font>
    <font>
      <b/>
      <sz val="11"/>
      <color indexed="55"/>
      <name val="Arial"/>
      <family val="2"/>
    </font>
    <font>
      <sz val="11"/>
      <color indexed="10"/>
      <name val="Arial"/>
      <family val="2"/>
    </font>
    <font>
      <b/>
      <sz val="12"/>
      <color indexed="12"/>
      <name val="Arial"/>
      <family val="2"/>
    </font>
    <font>
      <b/>
      <sz val="12"/>
      <name val="Arial"/>
      <family val="2"/>
    </font>
    <font>
      <b/>
      <i/>
      <sz val="12"/>
      <name val="Arial"/>
      <family val="2"/>
    </font>
    <font>
      <sz val="12"/>
      <name val="Helv"/>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8"/>
      <color indexed="52"/>
      <name val="Arial"/>
      <family val="2"/>
    </font>
    <font>
      <sz val="8"/>
      <color indexed="51"/>
      <name val="Arial"/>
      <family val="2"/>
    </font>
    <font>
      <b/>
      <sz val="10"/>
      <color indexed="58"/>
      <name val="Arial"/>
      <family val="2"/>
    </font>
    <font>
      <sz val="10"/>
      <color indexed="39"/>
      <name val="Arial"/>
      <family val="2"/>
    </font>
    <font>
      <b/>
      <sz val="10"/>
      <color indexed="8"/>
      <name val="Arial"/>
      <family val="2"/>
    </font>
    <font>
      <b/>
      <sz val="12"/>
      <color indexed="8"/>
      <name val="Arial"/>
      <family val="2"/>
    </font>
    <font>
      <b/>
      <sz val="16"/>
      <color indexed="23"/>
      <name val="Arial"/>
      <family val="2"/>
    </font>
    <font>
      <sz val="10"/>
      <color indexed="10"/>
      <name val="Arial"/>
      <family val="2"/>
    </font>
    <font>
      <b/>
      <sz val="11"/>
      <name val="Times New Roman"/>
      <family val="1"/>
    </font>
    <font>
      <b/>
      <sz val="18"/>
      <name val="Arial"/>
      <family val="2"/>
    </font>
    <font>
      <u/>
      <sz val="10"/>
      <color theme="10"/>
      <name val="System"/>
      <family val="2"/>
    </font>
    <font>
      <u/>
      <sz val="11"/>
      <color theme="10"/>
      <name val="Calibri"/>
      <family val="2"/>
    </font>
    <font>
      <sz val="12"/>
      <color theme="1"/>
      <name val="Arial"/>
      <family val="2"/>
    </font>
    <font>
      <i/>
      <sz val="12"/>
      <color theme="0"/>
      <name val="Calibri"/>
      <family val="2"/>
      <scheme val="minor"/>
    </font>
  </fonts>
  <fills count="5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002060"/>
        <bgColor indexed="64"/>
      </patternFill>
    </fill>
    <fill>
      <patternFill patternType="solid">
        <fgColor rgb="FF646464"/>
        <bgColor indexed="64"/>
      </patternFill>
    </fill>
    <fill>
      <patternFill patternType="solid">
        <fgColor rgb="FF81C9BB"/>
        <bgColor indexed="64"/>
      </patternFill>
    </fill>
    <fill>
      <patternFill patternType="solid">
        <fgColor rgb="FF008080"/>
        <bgColor indexed="64"/>
      </patternFill>
    </fill>
    <fill>
      <patternFill patternType="solid">
        <fgColor rgb="FF4F81BD"/>
        <bgColor indexed="64"/>
      </patternFill>
    </fill>
    <fill>
      <patternFill patternType="solid">
        <fgColor theme="0" tint="-0.499984740745262"/>
        <bgColor indexed="64"/>
      </patternFill>
    </fill>
    <fill>
      <patternFill patternType="solid">
        <fgColor rgb="FF002060"/>
        <bgColor indexed="56"/>
      </patternFill>
    </fill>
    <fill>
      <patternFill patternType="solid">
        <fgColor theme="2"/>
        <bgColor indexed="64"/>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9"/>
        <bgColor indexed="64"/>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24"/>
        <bgColor indexed="64"/>
      </patternFill>
    </fill>
    <fill>
      <patternFill patternType="solid">
        <fgColor indexed="13"/>
        <bgColor indexed="64"/>
      </patternFill>
    </fill>
    <fill>
      <patternFill patternType="solid">
        <fgColor rgb="FFFFFFCC"/>
      </patternFill>
    </fill>
  </fills>
  <borders count="4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right/>
      <top/>
      <bottom style="dotted">
        <color indexed="64"/>
      </bottom>
      <diagonal/>
    </border>
    <border>
      <left/>
      <right/>
      <top/>
      <bottom style="thin">
        <color indexed="64"/>
      </bottom>
      <diagonal/>
    </border>
    <border>
      <left/>
      <right/>
      <top style="thin">
        <color indexed="64"/>
      </top>
      <bottom/>
      <diagonal/>
    </border>
    <border>
      <left style="dotted">
        <color indexed="64"/>
      </left>
      <right/>
      <top style="thin">
        <color indexed="64"/>
      </top>
      <bottom style="thin">
        <color indexed="64"/>
      </bottom>
      <diagonal/>
    </border>
    <border>
      <left style="dotted">
        <color indexed="64"/>
      </left>
      <right/>
      <top/>
      <bottom/>
      <diagonal/>
    </border>
    <border>
      <left style="dotted">
        <color indexed="64"/>
      </left>
      <right/>
      <top/>
      <bottom style="dotted">
        <color indexed="64"/>
      </bottom>
      <diagonal/>
    </border>
    <border>
      <left style="dotted">
        <color indexed="64"/>
      </left>
      <right/>
      <top/>
      <bottom style="thin">
        <color indexed="64"/>
      </bottom>
      <diagonal/>
    </border>
    <border>
      <left style="dotted">
        <color indexed="64"/>
      </left>
      <right/>
      <top style="thin">
        <color indexed="64"/>
      </top>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right style="dotted">
        <color indexed="64"/>
      </right>
      <top/>
      <bottom style="thin">
        <color indexed="64"/>
      </bottom>
      <diagonal/>
    </border>
    <border>
      <left/>
      <right style="dotted">
        <color indexed="64"/>
      </right>
      <top/>
      <bottom/>
      <diagonal/>
    </border>
    <border>
      <left/>
      <right style="dotted">
        <color indexed="64"/>
      </right>
      <top/>
      <bottom style="dotted">
        <color indexed="64"/>
      </bottom>
      <diagonal/>
    </border>
    <border>
      <left/>
      <right/>
      <top style="dotted">
        <color auto="1"/>
      </top>
      <bottom style="dotted">
        <color auto="1"/>
      </bottom>
      <diagonal/>
    </border>
    <border>
      <left/>
      <right/>
      <top style="dotted">
        <color indexed="64"/>
      </top>
      <bottom style="thin">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right/>
      <top style="thin">
        <color theme="0" tint="-0.24994659260841701"/>
      </top>
      <bottom style="dotted">
        <color theme="0" tint="-0.24994659260841701"/>
      </bottom>
      <diagonal/>
    </border>
    <border>
      <left/>
      <right/>
      <top style="dotted">
        <color auto="1"/>
      </top>
      <bottom/>
      <diagonal/>
    </border>
    <border>
      <left style="dotted">
        <color indexed="64"/>
      </left>
      <right/>
      <top style="dotted">
        <color auto="1"/>
      </top>
      <bottom/>
      <diagonal/>
    </border>
    <border>
      <left/>
      <right/>
      <top style="thin">
        <color theme="0" tint="-0.24994659260841701"/>
      </top>
      <bottom/>
      <diagonal/>
    </border>
    <border>
      <left/>
      <right/>
      <top/>
      <bottom style="medium">
        <color indexed="18"/>
      </bottom>
      <diagonal/>
    </border>
    <border>
      <left/>
      <right style="thin">
        <color indexed="64"/>
      </right>
      <top/>
      <bottom style="thin">
        <color indexed="64"/>
      </bottom>
      <diagonal/>
    </border>
    <border>
      <left/>
      <right style="medium">
        <color indexed="8"/>
      </right>
      <top/>
      <bottom/>
      <diagonal/>
    </border>
    <border>
      <left style="thin">
        <color indexed="64"/>
      </left>
      <right style="thin">
        <color indexed="64"/>
      </right>
      <top style="thin">
        <color indexed="64"/>
      </top>
      <bottom style="thin">
        <color indexed="64"/>
      </bottom>
      <diagonal/>
    </border>
    <border>
      <left/>
      <right style="medium">
        <color indexed="8"/>
      </right>
      <top/>
      <bottom style="medium">
        <color indexed="8"/>
      </bottom>
      <diagonal/>
    </border>
    <border>
      <left/>
      <right/>
      <top/>
      <bottom style="medium">
        <color indexed="8"/>
      </bottom>
      <diagonal/>
    </border>
    <border>
      <left/>
      <right style="thin">
        <color indexed="64"/>
      </right>
      <top/>
      <bottom/>
      <diagonal/>
    </border>
    <border>
      <left style="thin">
        <color indexed="64"/>
      </left>
      <right style="thin">
        <color indexed="64"/>
      </right>
      <top/>
      <bottom/>
      <diagonal/>
    </border>
    <border>
      <left style="thin">
        <color indexed="63"/>
      </left>
      <right style="thin">
        <color indexed="63"/>
      </right>
      <top style="thin">
        <color indexed="64"/>
      </top>
      <bottom style="thin">
        <color indexed="63"/>
      </bottom>
      <diagonal/>
    </border>
    <border>
      <left/>
      <right/>
      <top/>
      <bottom style="medium">
        <color indexed="64"/>
      </bottom>
      <diagonal/>
    </border>
    <border>
      <left/>
      <right/>
      <top style="thin">
        <color indexed="12"/>
      </top>
      <bottom style="thin">
        <color indexed="12"/>
      </bottom>
      <diagonal/>
    </border>
    <border>
      <left/>
      <right/>
      <top/>
      <bottom style="thin">
        <color indexed="12"/>
      </bottom>
      <diagonal/>
    </border>
    <border>
      <left style="thin">
        <color rgb="FFB2B2B2"/>
      </left>
      <right style="thin">
        <color rgb="FFB2B2B2"/>
      </right>
      <top style="thin">
        <color rgb="FFB2B2B2"/>
      </top>
      <bottom style="thin">
        <color rgb="FFB2B2B2"/>
      </bottom>
      <diagonal/>
    </border>
  </borders>
  <cellStyleXfs count="411">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8" fillId="3" borderId="0" applyNumberFormat="0" applyBorder="0" applyAlignment="0" applyProtection="0"/>
    <xf numFmtId="0" fontId="9" fillId="20" borderId="1" applyNumberFormat="0" applyAlignment="0" applyProtection="0"/>
    <xf numFmtId="0" fontId="10" fillId="21" borderId="2" applyNumberFormat="0" applyAlignment="0" applyProtection="0"/>
    <xf numFmtId="0" fontId="11" fillId="0" borderId="0" applyNumberFormat="0" applyFill="0" applyBorder="0" applyAlignment="0" applyProtection="0"/>
    <xf numFmtId="0" fontId="12" fillId="4" borderId="0" applyNumberFormat="0" applyBorder="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4" fillId="0" borderId="0" applyNumberFormat="0" applyFill="0" applyBorder="0" applyAlignment="0" applyProtection="0">
      <alignment vertical="top"/>
      <protection locked="0"/>
    </xf>
    <xf numFmtId="0" fontId="16" fillId="7" borderId="1" applyNumberFormat="0" applyAlignment="0" applyProtection="0"/>
    <xf numFmtId="0" fontId="17" fillId="0" borderId="6" applyNumberFormat="0" applyFill="0" applyAlignment="0" applyProtection="0"/>
    <xf numFmtId="0" fontId="18" fillId="22" borderId="0" applyNumberFormat="0" applyBorder="0" applyAlignment="0" applyProtection="0"/>
    <xf numFmtId="0" fontId="6" fillId="0" borderId="0"/>
    <xf numFmtId="0" fontId="5" fillId="0" borderId="0"/>
    <xf numFmtId="0" fontId="6" fillId="0" borderId="0"/>
    <xf numFmtId="0" fontId="2" fillId="23" borderId="7" applyNumberFormat="0" applyFont="0" applyAlignment="0" applyProtection="0"/>
    <xf numFmtId="0" fontId="19" fillId="20" borderId="8" applyNumberFormat="0" applyAlignment="0" applyProtection="0"/>
    <xf numFmtId="9" fontId="2" fillId="0" borderId="0" applyFont="0" applyFill="0" applyBorder="0" applyAlignment="0" applyProtection="0"/>
    <xf numFmtId="0" fontId="5" fillId="0" borderId="0"/>
    <xf numFmtId="0" fontId="20" fillId="0" borderId="0" applyNumberFormat="0" applyFill="0" applyBorder="0" applyAlignment="0" applyProtection="0"/>
    <xf numFmtId="0" fontId="21" fillId="0" borderId="9" applyNumberFormat="0" applyFill="0" applyAlignment="0" applyProtection="0"/>
    <xf numFmtId="0" fontId="22" fillId="0" borderId="0" applyNumberFormat="0" applyFill="0" applyBorder="0" applyAlignment="0" applyProtection="0"/>
    <xf numFmtId="43" fontId="52" fillId="0" borderId="0" applyFont="0" applyFill="0" applyBorder="0" applyAlignment="0" applyProtection="0"/>
    <xf numFmtId="0" fontId="2" fillId="0" borderId="0"/>
    <xf numFmtId="0" fontId="2" fillId="0" borderId="0"/>
    <xf numFmtId="0" fontId="2" fillId="0" borderId="0"/>
    <xf numFmtId="0" fontId="2" fillId="0" borderId="0"/>
    <xf numFmtId="0" fontId="59" fillId="0" borderId="32" applyNumberFormat="0" applyFill="0" applyProtection="0">
      <alignment horizontal="center"/>
    </xf>
    <xf numFmtId="165" fontId="2" fillId="0" borderId="0" applyFont="0" applyFill="0" applyBorder="0" applyProtection="0">
      <alignment horizontal="right"/>
    </xf>
    <xf numFmtId="165" fontId="2" fillId="0" borderId="0" applyFont="0" applyFill="0" applyBorder="0" applyProtection="0">
      <alignment horizontal="right"/>
    </xf>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172" fontId="2" fillId="0" borderId="0" applyFont="0" applyFill="0" applyBorder="0" applyProtection="0">
      <alignment horizontal="right"/>
    </xf>
    <xf numFmtId="172" fontId="2" fillId="0" borderId="0" applyFont="0" applyFill="0" applyBorder="0" applyProtection="0">
      <alignment horizontal="right"/>
    </xf>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174" fontId="2" fillId="0" borderId="0" applyFont="0" applyFill="0" applyBorder="0" applyProtection="0">
      <alignment horizontal="right"/>
    </xf>
    <xf numFmtId="174" fontId="2" fillId="0" borderId="0" applyFont="0" applyFill="0" applyBorder="0" applyProtection="0">
      <alignment horizontal="right"/>
    </xf>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8" fillId="3" borderId="0" applyNumberFormat="0" applyBorder="0" applyAlignment="0" applyProtection="0"/>
    <xf numFmtId="185" fontId="2" fillId="0" borderId="0" applyBorder="0"/>
    <xf numFmtId="0" fontId="9" fillId="20" borderId="1" applyNumberFormat="0" applyAlignment="0" applyProtection="0"/>
    <xf numFmtId="0" fontId="10" fillId="21" borderId="2" applyNumberFormat="0" applyAlignment="0" applyProtection="0"/>
    <xf numFmtId="174" fontId="60" fillId="0" borderId="0" applyFont="0" applyFill="0" applyBorder="0" applyProtection="0">
      <alignment horizontal="right"/>
    </xf>
    <xf numFmtId="176" fontId="60" fillId="0" borderId="0" applyFont="0" applyFill="0" applyBorder="0" applyProtection="0">
      <alignment horizontal="left"/>
    </xf>
    <xf numFmtId="43" fontId="2"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75" fillId="0" borderId="33" applyNumberFormat="0" applyBorder="0" applyAlignment="0" applyProtection="0">
      <alignment horizontal="right" vertical="center"/>
    </xf>
    <xf numFmtId="186" fontId="2" fillId="0" borderId="0" applyFont="0" applyFill="0" applyBorder="0" applyAlignment="0" applyProtection="0"/>
    <xf numFmtId="0" fontId="11" fillId="0" borderId="0" applyNumberFormat="0" applyFill="0" applyBorder="0" applyAlignment="0" applyProtection="0"/>
    <xf numFmtId="0" fontId="76" fillId="0" borderId="0">
      <alignment horizontal="right"/>
      <protection locked="0"/>
    </xf>
    <xf numFmtId="0" fontId="61" fillId="0" borderId="0">
      <alignment horizontal="left"/>
    </xf>
    <xf numFmtId="0" fontId="62" fillId="0" borderId="0">
      <alignment horizontal="left"/>
    </xf>
    <xf numFmtId="0" fontId="2" fillId="0" borderId="0" applyFont="0" applyFill="0" applyBorder="0" applyProtection="0">
      <alignment horizontal="right"/>
    </xf>
    <xf numFmtId="0" fontId="2" fillId="0" borderId="0" applyFont="0" applyFill="0" applyBorder="0" applyProtection="0">
      <alignment horizontal="right"/>
    </xf>
    <xf numFmtId="0" fontId="12" fillId="4" borderId="0" applyNumberFormat="0" applyBorder="0" applyAlignment="0" applyProtection="0"/>
    <xf numFmtId="38" fontId="3" fillId="34" borderId="0" applyNumberFormat="0" applyBorder="0" applyAlignment="0" applyProtection="0"/>
    <xf numFmtId="0" fontId="63" fillId="35" borderId="34" applyProtection="0">
      <alignment horizontal="right"/>
    </xf>
    <xf numFmtId="0" fontId="64" fillId="35" borderId="0" applyProtection="0">
      <alignment horizontal="left"/>
    </xf>
    <xf numFmtId="0" fontId="13" fillId="0" borderId="3" applyNumberFormat="0" applyFill="0" applyAlignment="0" applyProtection="0"/>
    <xf numFmtId="0" fontId="77" fillId="0" borderId="0">
      <alignment vertical="top" wrapText="1"/>
    </xf>
    <xf numFmtId="0" fontId="77" fillId="0" borderId="0">
      <alignment vertical="top" wrapText="1"/>
    </xf>
    <xf numFmtId="0" fontId="77" fillId="0" borderId="0">
      <alignment vertical="top" wrapText="1"/>
    </xf>
    <xf numFmtId="0" fontId="77" fillId="0" borderId="0">
      <alignment vertical="top" wrapText="1"/>
    </xf>
    <xf numFmtId="0" fontId="14" fillId="0" borderId="4" applyNumberFormat="0" applyFill="0" applyAlignment="0" applyProtection="0"/>
    <xf numFmtId="177" fontId="78" fillId="0" borderId="0" applyNumberFormat="0" applyFill="0" applyAlignment="0" applyProtection="0"/>
    <xf numFmtId="0" fontId="15" fillId="0" borderId="5" applyNumberFormat="0" applyFill="0" applyAlignment="0" applyProtection="0"/>
    <xf numFmtId="177" fontId="79" fillId="0" borderId="0" applyNumberFormat="0" applyFill="0" applyAlignment="0" applyProtection="0"/>
    <xf numFmtId="0" fontId="15" fillId="0" borderId="0" applyNumberFormat="0" applyFill="0" applyBorder="0" applyAlignment="0" applyProtection="0"/>
    <xf numFmtId="177" fontId="23" fillId="0" borderId="0" applyNumberFormat="0" applyFill="0" applyAlignment="0" applyProtection="0"/>
    <xf numFmtId="177" fontId="65" fillId="0" borderId="0" applyNumberFormat="0" applyFill="0" applyAlignment="0" applyProtection="0"/>
    <xf numFmtId="177" fontId="55" fillId="0" borderId="0" applyNumberFormat="0" applyFill="0" applyAlignment="0" applyProtection="0"/>
    <xf numFmtId="177" fontId="55" fillId="0" borderId="0" applyNumberFormat="0" applyFont="0" applyFill="0" applyBorder="0" applyAlignment="0" applyProtection="0"/>
    <xf numFmtId="177" fontId="55" fillId="0" borderId="0" applyNumberFormat="0" applyFont="0" applyFill="0" applyBorder="0" applyAlignment="0" applyProtection="0"/>
    <xf numFmtId="0" fontId="95"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96"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66" fillId="0" borderId="0" applyFill="0" applyBorder="0" applyProtection="0">
      <alignment horizontal="left"/>
    </xf>
    <xf numFmtId="10" fontId="3" fillId="36" borderId="35" applyNumberFormat="0" applyBorder="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63" fillId="0" borderId="36" applyProtection="0">
      <alignment horizontal="right"/>
    </xf>
    <xf numFmtId="0" fontId="63" fillId="0" borderId="34" applyProtection="0">
      <alignment horizontal="right"/>
    </xf>
    <xf numFmtId="0" fontId="63" fillId="0" borderId="37" applyProtection="0">
      <alignment horizontal="center"/>
      <protection locked="0"/>
    </xf>
    <xf numFmtId="0" fontId="17" fillId="0" borderId="6" applyNumberFormat="0" applyFill="0" applyAlignment="0" applyProtection="0"/>
    <xf numFmtId="0" fontId="2" fillId="0" borderId="0"/>
    <xf numFmtId="0" fontId="2" fillId="0" borderId="0"/>
    <xf numFmtId="0" fontId="2" fillId="0" borderId="0"/>
    <xf numFmtId="1" fontId="2" fillId="0" borderId="0" applyFont="0" applyFill="0" applyBorder="0" applyProtection="0">
      <alignment horizontal="right"/>
    </xf>
    <xf numFmtId="1" fontId="2" fillId="0" borderId="0" applyFont="0" applyFill="0" applyBorder="0" applyProtection="0">
      <alignment horizontal="right"/>
    </xf>
    <xf numFmtId="0" fontId="18" fillId="22" borderId="0" applyNumberFormat="0" applyBorder="0" applyAlignment="0" applyProtection="0"/>
    <xf numFmtId="0" fontId="80" fillId="0" borderId="0"/>
    <xf numFmtId="0" fontId="80" fillId="0" borderId="0"/>
    <xf numFmtId="0" fontId="80" fillId="0" borderId="0"/>
    <xf numFmtId="0" fontId="80" fillId="0" borderId="0"/>
    <xf numFmtId="0" fontId="80" fillId="0" borderId="0"/>
    <xf numFmtId="175" fontId="57" fillId="0" borderId="0"/>
    <xf numFmtId="0" fontId="2" fillId="0" borderId="0">
      <alignment vertical="top"/>
    </xf>
    <xf numFmtId="0" fontId="1" fillId="0" borderId="0"/>
    <xf numFmtId="0" fontId="1" fillId="0" borderId="0"/>
    <xf numFmtId="0" fontId="1" fillId="0" borderId="0"/>
    <xf numFmtId="0" fontId="1" fillId="0" borderId="0"/>
    <xf numFmtId="0" fontId="2"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alignment vertical="top"/>
    </xf>
    <xf numFmtId="0" fontId="1" fillId="0" borderId="0"/>
    <xf numFmtId="0" fontId="2" fillId="0" borderId="0">
      <alignment vertical="top"/>
    </xf>
    <xf numFmtId="0" fontId="1" fillId="0" borderId="0"/>
    <xf numFmtId="0" fontId="2" fillId="0" borderId="0">
      <alignment vertical="top"/>
    </xf>
    <xf numFmtId="0" fontId="1" fillId="0" borderId="0"/>
    <xf numFmtId="0" fontId="2" fillId="0" borderId="0">
      <alignment vertical="top"/>
    </xf>
    <xf numFmtId="0" fontId="1" fillId="0" borderId="0"/>
    <xf numFmtId="175" fontId="57" fillId="0" borderId="0"/>
    <xf numFmtId="0" fontId="2" fillId="0" borderId="0">
      <alignment vertical="top"/>
    </xf>
    <xf numFmtId="0" fontId="1" fillId="0" borderId="0"/>
    <xf numFmtId="0" fontId="2" fillId="0" borderId="0">
      <alignment vertical="top"/>
    </xf>
    <xf numFmtId="175" fontId="56" fillId="0" borderId="0"/>
    <xf numFmtId="0" fontId="1" fillId="0" borderId="0"/>
    <xf numFmtId="0" fontId="2" fillId="0" borderId="0">
      <alignment vertical="top"/>
    </xf>
    <xf numFmtId="0" fontId="1" fillId="0" borderId="0"/>
    <xf numFmtId="0" fontId="1" fillId="0" borderId="0"/>
    <xf numFmtId="0" fontId="2" fillId="0" borderId="0">
      <alignment vertical="top"/>
    </xf>
    <xf numFmtId="0" fontId="1" fillId="0" borderId="0"/>
    <xf numFmtId="175" fontId="57" fillId="0" borderId="0"/>
    <xf numFmtId="0" fontId="6" fillId="0" borderId="0"/>
    <xf numFmtId="0" fontId="2" fillId="0" borderId="0"/>
    <xf numFmtId="0" fontId="1" fillId="0" borderId="0"/>
    <xf numFmtId="0" fontId="2" fillId="0" borderId="0">
      <alignment vertical="top"/>
    </xf>
    <xf numFmtId="0" fontId="1"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1" fillId="0" borderId="0"/>
    <xf numFmtId="0" fontId="97" fillId="0" borderId="0"/>
    <xf numFmtId="0" fontId="1" fillId="0" borderId="0"/>
    <xf numFmtId="0" fontId="97" fillId="0" borderId="0"/>
    <xf numFmtId="0" fontId="1" fillId="0" borderId="0"/>
    <xf numFmtId="0" fontId="97" fillId="0" borderId="0"/>
    <xf numFmtId="0" fontId="1" fillId="0" borderId="0"/>
    <xf numFmtId="0" fontId="97" fillId="0" borderId="0"/>
    <xf numFmtId="0" fontId="1" fillId="0" borderId="0"/>
    <xf numFmtId="0" fontId="97" fillId="0" borderId="0"/>
    <xf numFmtId="0" fontId="1" fillId="0" borderId="0"/>
    <xf numFmtId="0" fontId="97" fillId="0" borderId="0"/>
    <xf numFmtId="0" fontId="2" fillId="0" borderId="0"/>
    <xf numFmtId="175" fontId="57" fillId="0" borderId="0"/>
    <xf numFmtId="0" fontId="67" fillId="0" borderId="0"/>
    <xf numFmtId="0" fontId="54" fillId="0" borderId="0"/>
    <xf numFmtId="175" fontId="57" fillId="0" borderId="0"/>
    <xf numFmtId="0" fontId="1" fillId="0" borderId="0"/>
    <xf numFmtId="175" fontId="57" fillId="0" borderId="0"/>
    <xf numFmtId="175" fontId="57" fillId="0" borderId="0"/>
    <xf numFmtId="175" fontId="57" fillId="0" borderId="0"/>
    <xf numFmtId="175" fontId="57" fillId="0" borderId="0"/>
    <xf numFmtId="175" fontId="57" fillId="0" borderId="0"/>
    <xf numFmtId="175" fontId="57" fillId="0" borderId="0"/>
    <xf numFmtId="175" fontId="57" fillId="0" borderId="0"/>
    <xf numFmtId="0" fontId="6"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1" fillId="0" borderId="0"/>
    <xf numFmtId="175" fontId="57" fillId="0" borderId="0"/>
    <xf numFmtId="0" fontId="2"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1" fillId="0" borderId="0"/>
    <xf numFmtId="0" fontId="2" fillId="0" borderId="0"/>
    <xf numFmtId="0" fontId="1" fillId="0" borderId="0"/>
    <xf numFmtId="175" fontId="57" fillId="0" borderId="0"/>
    <xf numFmtId="0" fontId="2" fillId="0" borderId="0"/>
    <xf numFmtId="175" fontId="56" fillId="0" borderId="0"/>
    <xf numFmtId="0" fontId="2" fillId="0" borderId="0"/>
    <xf numFmtId="0" fontId="2" fillId="0" borderId="0"/>
    <xf numFmtId="175" fontId="57" fillId="0" borderId="0"/>
    <xf numFmtId="0" fontId="2" fillId="0" borderId="0">
      <alignment vertical="top"/>
    </xf>
    <xf numFmtId="175" fontId="57" fillId="0" borderId="0"/>
    <xf numFmtId="0" fontId="2" fillId="0" borderId="0">
      <alignment vertical="top"/>
    </xf>
    <xf numFmtId="175" fontId="57" fillId="0" borderId="0"/>
    <xf numFmtId="0" fontId="2" fillId="0" borderId="0">
      <alignment vertical="top"/>
    </xf>
    <xf numFmtId="175" fontId="57" fillId="0" borderId="0"/>
    <xf numFmtId="0" fontId="2" fillId="0" borderId="0">
      <alignment vertical="top"/>
    </xf>
    <xf numFmtId="0" fontId="2" fillId="23" borderId="7" applyNumberFormat="0" applyFont="0" applyAlignment="0" applyProtection="0"/>
    <xf numFmtId="0" fontId="1" fillId="57" borderId="44" applyNumberFormat="0" applyFont="0" applyAlignment="0" applyProtection="0"/>
    <xf numFmtId="0" fontId="19" fillId="20" borderId="8" applyNumberFormat="0" applyAlignment="0" applyProtection="0"/>
    <xf numFmtId="40" fontId="81" fillId="37" borderId="0">
      <alignment horizontal="right"/>
    </xf>
    <xf numFmtId="0" fontId="82" fillId="37" borderId="0">
      <alignment horizontal="right"/>
    </xf>
    <xf numFmtId="0" fontId="83" fillId="37" borderId="38"/>
    <xf numFmtId="0" fontId="83" fillId="0" borderId="0" applyBorder="0">
      <alignment horizontal="centerContinuous"/>
    </xf>
    <xf numFmtId="0" fontId="84" fillId="0" borderId="0" applyBorder="0">
      <alignment horizontal="centerContinuous"/>
    </xf>
    <xf numFmtId="178" fontId="2" fillId="0" borderId="0" applyFont="0" applyFill="0" applyBorder="0" applyProtection="0">
      <alignment horizontal="right"/>
    </xf>
    <xf numFmtId="178" fontId="2" fillId="0" borderId="0" applyFont="0" applyFill="0" applyBorder="0" applyProtection="0">
      <alignment horizontal="right"/>
    </xf>
    <xf numFmtId="10"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2" fillId="0" borderId="0"/>
    <xf numFmtId="2" fontId="85" fillId="38" borderId="39" applyAlignment="0" applyProtection="0">
      <protection locked="0"/>
    </xf>
    <xf numFmtId="0" fontId="86" fillId="36" borderId="39" applyNumberFormat="0" applyAlignment="0" applyProtection="0"/>
    <xf numFmtId="0" fontId="87" fillId="39" borderId="35" applyNumberFormat="0" applyAlignment="0" applyProtection="0">
      <alignment horizontal="center" vertical="center"/>
    </xf>
    <xf numFmtId="4" fontId="67" fillId="40" borderId="8" applyNumberFormat="0" applyProtection="0">
      <alignment vertical="center"/>
    </xf>
    <xf numFmtId="4" fontId="88" fillId="40" borderId="8" applyNumberFormat="0" applyProtection="0">
      <alignment vertical="center"/>
    </xf>
    <xf numFmtId="4" fontId="67" fillId="40" borderId="8" applyNumberFormat="0" applyProtection="0">
      <alignment horizontal="left" vertical="center" indent="1"/>
    </xf>
    <xf numFmtId="4" fontId="67" fillId="40" borderId="8" applyNumberFormat="0" applyProtection="0">
      <alignment horizontal="left" vertical="center" indent="1"/>
    </xf>
    <xf numFmtId="0" fontId="2" fillId="41" borderId="8" applyNumberFormat="0" applyProtection="0">
      <alignment horizontal="left" vertical="center" indent="1"/>
    </xf>
    <xf numFmtId="4" fontId="67" fillId="42" borderId="8" applyNumberFormat="0" applyProtection="0">
      <alignment horizontal="right" vertical="center"/>
    </xf>
    <xf numFmtId="4" fontId="67" fillId="43" borderId="8" applyNumberFormat="0" applyProtection="0">
      <alignment horizontal="right" vertical="center"/>
    </xf>
    <xf numFmtId="4" fontId="67" fillId="44" borderId="8" applyNumberFormat="0" applyProtection="0">
      <alignment horizontal="right" vertical="center"/>
    </xf>
    <xf numFmtId="4" fontId="67" fillId="45" borderId="8" applyNumberFormat="0" applyProtection="0">
      <alignment horizontal="right" vertical="center"/>
    </xf>
    <xf numFmtId="4" fontId="67" fillId="46" borderId="8" applyNumberFormat="0" applyProtection="0">
      <alignment horizontal="right" vertical="center"/>
    </xf>
    <xf numFmtId="4" fontId="67" fillId="47" borderId="8" applyNumberFormat="0" applyProtection="0">
      <alignment horizontal="right" vertical="center"/>
    </xf>
    <xf numFmtId="4" fontId="67" fillId="48" borderId="8" applyNumberFormat="0" applyProtection="0">
      <alignment horizontal="right" vertical="center"/>
    </xf>
    <xf numFmtId="4" fontId="67" fillId="49" borderId="8" applyNumberFormat="0" applyProtection="0">
      <alignment horizontal="right" vertical="center"/>
    </xf>
    <xf numFmtId="4" fontId="67" fillId="50" borderId="8" applyNumberFormat="0" applyProtection="0">
      <alignment horizontal="right" vertical="center"/>
    </xf>
    <xf numFmtId="4" fontId="89" fillId="51" borderId="8" applyNumberFormat="0" applyProtection="0">
      <alignment horizontal="left" vertical="center" indent="1"/>
    </xf>
    <xf numFmtId="4" fontId="67" fillId="52" borderId="40" applyNumberFormat="0" applyProtection="0">
      <alignment horizontal="left" vertical="center" indent="1"/>
    </xf>
    <xf numFmtId="4" fontId="90" fillId="53" borderId="0" applyNumberFormat="0" applyProtection="0">
      <alignment horizontal="left" vertical="center" indent="1"/>
    </xf>
    <xf numFmtId="0" fontId="2" fillId="41" borderId="8" applyNumberFormat="0" applyProtection="0">
      <alignment horizontal="left" vertical="center" indent="1"/>
    </xf>
    <xf numFmtId="4" fontId="67" fillId="52" borderId="8" applyNumberFormat="0" applyProtection="0">
      <alignment horizontal="left" vertical="center" indent="1"/>
    </xf>
    <xf numFmtId="4" fontId="67" fillId="54" borderId="8" applyNumberFormat="0" applyProtection="0">
      <alignment horizontal="left" vertical="center" indent="1"/>
    </xf>
    <xf numFmtId="0" fontId="2" fillId="54" borderId="8" applyNumberFormat="0" applyProtection="0">
      <alignment horizontal="left" vertical="center" indent="1"/>
    </xf>
    <xf numFmtId="0" fontId="2" fillId="54" borderId="8" applyNumberFormat="0" applyProtection="0">
      <alignment horizontal="left" vertical="center" indent="1"/>
    </xf>
    <xf numFmtId="0" fontId="2" fillId="39" borderId="8" applyNumberFormat="0" applyProtection="0">
      <alignment horizontal="left" vertical="center" indent="1"/>
    </xf>
    <xf numFmtId="0" fontId="2" fillId="39" borderId="8" applyNumberFormat="0" applyProtection="0">
      <alignment horizontal="left" vertical="center" indent="1"/>
    </xf>
    <xf numFmtId="0" fontId="2" fillId="34" borderId="8" applyNumberFormat="0" applyProtection="0">
      <alignment horizontal="left" vertical="center" indent="1"/>
    </xf>
    <xf numFmtId="0" fontId="2" fillId="34" borderId="8" applyNumberFormat="0" applyProtection="0">
      <alignment horizontal="left" vertical="center" indent="1"/>
    </xf>
    <xf numFmtId="0" fontId="2" fillId="41" borderId="8" applyNumberFormat="0" applyProtection="0">
      <alignment horizontal="left" vertical="center" indent="1"/>
    </xf>
    <xf numFmtId="0" fontId="2" fillId="41" borderId="8" applyNumberFormat="0" applyProtection="0">
      <alignment horizontal="left" vertical="center" indent="1"/>
    </xf>
    <xf numFmtId="4" fontId="67" fillId="36" borderId="8" applyNumberFormat="0" applyProtection="0">
      <alignment vertical="center"/>
    </xf>
    <xf numFmtId="4" fontId="88" fillId="36" borderId="8" applyNumberFormat="0" applyProtection="0">
      <alignment vertical="center"/>
    </xf>
    <xf numFmtId="4" fontId="67" fillId="36" borderId="8" applyNumberFormat="0" applyProtection="0">
      <alignment horizontal="left" vertical="center" indent="1"/>
    </xf>
    <xf numFmtId="4" fontId="67" fillId="36" borderId="8" applyNumberFormat="0" applyProtection="0">
      <alignment horizontal="left" vertical="center" indent="1"/>
    </xf>
    <xf numFmtId="4" fontId="67" fillId="52" borderId="8" applyNumberFormat="0" applyProtection="0">
      <alignment horizontal="right" vertical="center"/>
    </xf>
    <xf numFmtId="4" fontId="88" fillId="52" borderId="8" applyNumberFormat="0" applyProtection="0">
      <alignment horizontal="right" vertical="center"/>
    </xf>
    <xf numFmtId="0" fontId="2" fillId="41" borderId="8" applyNumberFormat="0" applyProtection="0">
      <alignment horizontal="left" vertical="center" indent="1"/>
    </xf>
    <xf numFmtId="0" fontId="2" fillId="41" borderId="8" applyNumberFormat="0" applyProtection="0">
      <alignment horizontal="left" vertical="center" indent="1"/>
    </xf>
    <xf numFmtId="0" fontId="91" fillId="0" borderId="0"/>
    <xf numFmtId="4" fontId="92" fillId="52" borderId="8" applyNumberFormat="0" applyProtection="0">
      <alignment horizontal="right" vertical="center"/>
    </xf>
    <xf numFmtId="0" fontId="2" fillId="0" borderId="0"/>
    <xf numFmtId="0" fontId="68" fillId="37" borderId="41">
      <alignment horizontal="center"/>
    </xf>
    <xf numFmtId="3" fontId="69" fillId="37" borderId="0"/>
    <xf numFmtId="3" fontId="68" fillId="37" borderId="0"/>
    <xf numFmtId="0" fontId="69" fillId="37" borderId="0"/>
    <xf numFmtId="0" fontId="68" fillId="37" borderId="0"/>
    <xf numFmtId="0" fontId="69" fillId="37" borderId="0">
      <alignment horizontal="center"/>
    </xf>
    <xf numFmtId="0" fontId="70" fillId="0" borderId="0">
      <alignment wrapText="1"/>
    </xf>
    <xf numFmtId="0" fontId="70" fillId="0" borderId="0">
      <alignment wrapText="1"/>
    </xf>
    <xf numFmtId="0" fontId="70" fillId="0" borderId="0">
      <alignment wrapText="1"/>
    </xf>
    <xf numFmtId="0" fontId="70" fillId="0" borderId="0">
      <alignment wrapText="1"/>
    </xf>
    <xf numFmtId="0" fontId="71" fillId="55" borderId="0">
      <alignment horizontal="right" vertical="top" wrapText="1"/>
    </xf>
    <xf numFmtId="0" fontId="71" fillId="55" borderId="0">
      <alignment horizontal="right" vertical="top" wrapText="1"/>
    </xf>
    <xf numFmtId="0" fontId="71" fillId="55" borderId="0">
      <alignment horizontal="right" vertical="top" wrapText="1"/>
    </xf>
    <xf numFmtId="0" fontId="71" fillId="55" borderId="0">
      <alignment horizontal="right" vertical="top" wrapText="1"/>
    </xf>
    <xf numFmtId="0" fontId="72" fillId="0" borderId="0"/>
    <xf numFmtId="0" fontId="72" fillId="0" borderId="0"/>
    <xf numFmtId="0" fontId="72" fillId="0" borderId="0"/>
    <xf numFmtId="0" fontId="72" fillId="0" borderId="0"/>
    <xf numFmtId="0" fontId="73" fillId="0" borderId="0"/>
    <xf numFmtId="0" fontId="73" fillId="0" borderId="0"/>
    <xf numFmtId="0" fontId="73" fillId="0" borderId="0"/>
    <xf numFmtId="0" fontId="74" fillId="0" borderId="0"/>
    <xf numFmtId="0" fontId="74" fillId="0" borderId="0"/>
    <xf numFmtId="0" fontId="74" fillId="0" borderId="0"/>
    <xf numFmtId="179" fontId="3" fillId="0" borderId="0">
      <alignment wrapText="1"/>
      <protection locked="0"/>
    </xf>
    <xf numFmtId="179" fontId="3" fillId="0" borderId="0">
      <alignment wrapText="1"/>
      <protection locked="0"/>
    </xf>
    <xf numFmtId="179" fontId="71" fillId="56" borderId="0">
      <alignment wrapText="1"/>
      <protection locked="0"/>
    </xf>
    <xf numFmtId="179" fontId="71" fillId="56" borderId="0">
      <alignment wrapText="1"/>
      <protection locked="0"/>
    </xf>
    <xf numFmtId="179" fontId="71" fillId="56" borderId="0">
      <alignment wrapText="1"/>
      <protection locked="0"/>
    </xf>
    <xf numFmtId="179" fontId="71" fillId="56" borderId="0">
      <alignment wrapText="1"/>
      <protection locked="0"/>
    </xf>
    <xf numFmtId="179" fontId="3" fillId="0" borderId="0">
      <alignment wrapText="1"/>
      <protection locked="0"/>
    </xf>
    <xf numFmtId="180" fontId="3" fillId="0" borderId="0">
      <alignment wrapText="1"/>
      <protection locked="0"/>
    </xf>
    <xf numFmtId="180" fontId="3" fillId="0" borderId="0">
      <alignment wrapText="1"/>
      <protection locked="0"/>
    </xf>
    <xf numFmtId="180" fontId="3" fillId="0" borderId="0">
      <alignment wrapText="1"/>
      <protection locked="0"/>
    </xf>
    <xf numFmtId="180" fontId="71" fillId="56" borderId="0">
      <alignment wrapText="1"/>
      <protection locked="0"/>
    </xf>
    <xf numFmtId="180" fontId="71" fillId="56" borderId="0">
      <alignment wrapText="1"/>
      <protection locked="0"/>
    </xf>
    <xf numFmtId="180" fontId="71" fillId="56" borderId="0">
      <alignment wrapText="1"/>
      <protection locked="0"/>
    </xf>
    <xf numFmtId="180" fontId="71" fillId="56" borderId="0">
      <alignment wrapText="1"/>
      <protection locked="0"/>
    </xf>
    <xf numFmtId="180" fontId="71" fillId="56" borderId="0">
      <alignment wrapText="1"/>
      <protection locked="0"/>
    </xf>
    <xf numFmtId="180" fontId="3" fillId="0" borderId="0">
      <alignment wrapText="1"/>
      <protection locked="0"/>
    </xf>
    <xf numFmtId="181" fontId="3" fillId="0" borderId="0">
      <alignment wrapText="1"/>
      <protection locked="0"/>
    </xf>
    <xf numFmtId="181" fontId="3" fillId="0" borderId="0">
      <alignment wrapText="1"/>
      <protection locked="0"/>
    </xf>
    <xf numFmtId="181" fontId="71" fillId="56" borderId="0">
      <alignment wrapText="1"/>
      <protection locked="0"/>
    </xf>
    <xf numFmtId="181" fontId="71" fillId="56" borderId="0">
      <alignment wrapText="1"/>
      <protection locked="0"/>
    </xf>
    <xf numFmtId="181" fontId="71" fillId="56" borderId="0">
      <alignment wrapText="1"/>
      <protection locked="0"/>
    </xf>
    <xf numFmtId="181" fontId="71" fillId="56" borderId="0">
      <alignment wrapText="1"/>
      <protection locked="0"/>
    </xf>
    <xf numFmtId="181" fontId="3" fillId="0" borderId="0">
      <alignment wrapText="1"/>
      <protection locked="0"/>
    </xf>
    <xf numFmtId="182" fontId="71" fillId="55" borderId="42">
      <alignment wrapText="1"/>
    </xf>
    <xf numFmtId="182" fontId="71" fillId="55" borderId="42">
      <alignment wrapText="1"/>
    </xf>
    <xf numFmtId="182" fontId="71" fillId="55" borderId="42">
      <alignment wrapText="1"/>
    </xf>
    <xf numFmtId="183" fontId="71" fillId="55" borderId="42">
      <alignment wrapText="1"/>
    </xf>
    <xf numFmtId="183" fontId="71" fillId="55" borderId="42">
      <alignment wrapText="1"/>
    </xf>
    <xf numFmtId="183" fontId="71" fillId="55" borderId="42">
      <alignment wrapText="1"/>
    </xf>
    <xf numFmtId="183" fontId="71" fillId="55" borderId="42">
      <alignment wrapText="1"/>
    </xf>
    <xf numFmtId="184" fontId="71" fillId="55" borderId="42">
      <alignment wrapText="1"/>
    </xf>
    <xf numFmtId="184" fontId="71" fillId="55" borderId="42">
      <alignment wrapText="1"/>
    </xf>
    <xf numFmtId="184" fontId="71" fillId="55" borderId="42">
      <alignment wrapText="1"/>
    </xf>
    <xf numFmtId="0" fontId="72" fillId="0" borderId="43">
      <alignment horizontal="right"/>
    </xf>
    <xf numFmtId="0" fontId="72" fillId="0" borderId="43">
      <alignment horizontal="right"/>
    </xf>
    <xf numFmtId="0" fontId="72" fillId="0" borderId="43">
      <alignment horizontal="right"/>
    </xf>
    <xf numFmtId="0" fontId="72" fillId="0" borderId="43">
      <alignment horizontal="right"/>
    </xf>
    <xf numFmtId="40" fontId="93" fillId="0" borderId="0"/>
    <xf numFmtId="0" fontId="20" fillId="0" borderId="0" applyNumberFormat="0" applyFill="0" applyBorder="0" applyAlignment="0" applyProtection="0"/>
    <xf numFmtId="0" fontId="94" fillId="0" borderId="0" applyNumberFormat="0" applyFill="0" applyBorder="0" applyProtection="0">
      <alignment horizontal="left" vertical="center" indent="10"/>
    </xf>
    <xf numFmtId="0" fontId="94" fillId="0" borderId="0" applyNumberFormat="0" applyFill="0" applyBorder="0" applyProtection="0">
      <alignment horizontal="left" vertical="center" indent="10"/>
    </xf>
    <xf numFmtId="0" fontId="21" fillId="0" borderId="9" applyNumberFormat="0" applyFill="0" applyAlignment="0" applyProtection="0"/>
    <xf numFmtId="0" fontId="22" fillId="0" borderId="0" applyNumberFormat="0" applyFill="0" applyBorder="0" applyAlignment="0" applyProtection="0"/>
    <xf numFmtId="0" fontId="3" fillId="0" borderId="0"/>
  </cellStyleXfs>
  <cellXfs count="339">
    <xf numFmtId="0" fontId="0" fillId="0" borderId="0" xfId="0"/>
    <xf numFmtId="0" fontId="25" fillId="0" borderId="0" xfId="0" applyFont="1"/>
    <xf numFmtId="0" fontId="26" fillId="0" borderId="0" xfId="0" applyFont="1"/>
    <xf numFmtId="0" fontId="26" fillId="0" borderId="0" xfId="34" applyFont="1" applyAlignment="1" applyProtection="1">
      <alignment horizontal="right" indent="1"/>
    </xf>
    <xf numFmtId="0" fontId="27" fillId="24" borderId="10" xfId="0" applyFont="1" applyFill="1" applyBorder="1" applyAlignment="1">
      <alignment vertical="center"/>
    </xf>
    <xf numFmtId="0" fontId="25" fillId="0" borderId="0" xfId="0" applyFont="1" applyAlignment="1"/>
    <xf numFmtId="0" fontId="25" fillId="25" borderId="0" xfId="0" applyFont="1" applyFill="1" applyAlignment="1">
      <alignment horizontal="left" indent="1"/>
    </xf>
    <xf numFmtId="0" fontId="25" fillId="0" borderId="0" xfId="0" applyFont="1" applyBorder="1" applyAlignment="1">
      <alignment horizontal="left" indent="1"/>
    </xf>
    <xf numFmtId="0" fontId="28" fillId="0" borderId="0" xfId="0" applyFont="1"/>
    <xf numFmtId="0" fontId="25" fillId="0" borderId="0" xfId="0" applyFont="1" applyBorder="1"/>
    <xf numFmtId="9" fontId="25" fillId="0" borderId="0" xfId="43" applyFont="1"/>
    <xf numFmtId="3" fontId="25" fillId="0" borderId="0" xfId="0" applyNumberFormat="1" applyFont="1" applyBorder="1" applyAlignment="1">
      <alignment horizontal="right"/>
    </xf>
    <xf numFmtId="0" fontId="25" fillId="0" borderId="0" xfId="0" applyFont="1" applyFill="1" applyBorder="1"/>
    <xf numFmtId="0" fontId="26" fillId="24" borderId="10" xfId="0" applyFont="1" applyFill="1" applyBorder="1" applyAlignment="1">
      <alignment horizontal="right" vertical="center"/>
    </xf>
    <xf numFmtId="0" fontId="26" fillId="25" borderId="0" xfId="0" applyFont="1" applyFill="1"/>
    <xf numFmtId="3" fontId="25" fillId="25" borderId="0" xfId="0" applyNumberFormat="1" applyFont="1" applyFill="1"/>
    <xf numFmtId="0" fontId="25" fillId="25" borderId="11" xfId="0" applyFont="1" applyFill="1" applyBorder="1" applyAlignment="1">
      <alignment horizontal="left" indent="1"/>
    </xf>
    <xf numFmtId="3" fontId="25" fillId="25" borderId="11" xfId="0" applyNumberFormat="1" applyFont="1" applyFill="1" applyBorder="1"/>
    <xf numFmtId="3" fontId="25" fillId="0" borderId="0" xfId="0" applyNumberFormat="1" applyFont="1"/>
    <xf numFmtId="0" fontId="26" fillId="0" borderId="0" xfId="0" applyFont="1" applyFill="1" applyBorder="1" applyAlignment="1">
      <alignment horizontal="right" vertical="center"/>
    </xf>
    <xf numFmtId="0" fontId="25" fillId="0" borderId="0" xfId="0" applyFont="1" applyFill="1"/>
    <xf numFmtId="0" fontId="25" fillId="0" borderId="0" xfId="0" applyFont="1" applyAlignment="1">
      <alignment horizontal="left" indent="1"/>
    </xf>
    <xf numFmtId="3" fontId="25" fillId="0" borderId="0" xfId="0" applyNumberFormat="1" applyFont="1" applyBorder="1"/>
    <xf numFmtId="3" fontId="25" fillId="0" borderId="11" xfId="0" applyNumberFormat="1" applyFont="1" applyBorder="1"/>
    <xf numFmtId="0" fontId="25" fillId="0" borderId="12" xfId="0" applyFont="1" applyBorder="1" applyAlignment="1">
      <alignment horizontal="left" indent="1"/>
    </xf>
    <xf numFmtId="3" fontId="25" fillId="0" borderId="12" xfId="0" applyNumberFormat="1" applyFont="1" applyBorder="1"/>
    <xf numFmtId="0" fontId="25" fillId="0" borderId="0" xfId="0" applyNumberFormat="1" applyFont="1" applyAlignment="1"/>
    <xf numFmtId="0" fontId="25" fillId="0" borderId="0" xfId="0" applyFont="1" applyFill="1" applyBorder="1" applyAlignment="1"/>
    <xf numFmtId="0" fontId="27" fillId="24" borderId="13" xfId="0" applyFont="1" applyFill="1" applyBorder="1" applyAlignment="1">
      <alignment vertical="center"/>
    </xf>
    <xf numFmtId="0" fontId="26" fillId="24" borderId="13" xfId="0" applyFont="1" applyFill="1" applyBorder="1" applyAlignment="1">
      <alignment horizontal="right" vertical="center"/>
    </xf>
    <xf numFmtId="0" fontId="27" fillId="24" borderId="12" xfId="0" applyFont="1" applyFill="1" applyBorder="1" applyAlignment="1">
      <alignment vertical="center"/>
    </xf>
    <xf numFmtId="0" fontId="26" fillId="24" borderId="12" xfId="0" applyFont="1" applyFill="1" applyBorder="1" applyAlignment="1">
      <alignment horizontal="right" vertical="center" wrapText="1"/>
    </xf>
    <xf numFmtId="0" fontId="26" fillId="24" borderId="12" xfId="0" applyFont="1" applyFill="1" applyBorder="1" applyAlignment="1">
      <alignment horizontal="right" vertical="center"/>
    </xf>
    <xf numFmtId="0" fontId="25" fillId="25" borderId="0" xfId="0" applyFont="1" applyFill="1"/>
    <xf numFmtId="3" fontId="25" fillId="25" borderId="0" xfId="0" applyNumberFormat="1" applyFont="1" applyFill="1" applyAlignment="1">
      <alignment horizontal="right"/>
    </xf>
    <xf numFmtId="3" fontId="25" fillId="0" borderId="0" xfId="0" applyNumberFormat="1" applyFont="1" applyAlignment="1">
      <alignment horizontal="right"/>
    </xf>
    <xf numFmtId="3" fontId="26" fillId="0" borderId="0" xfId="0" applyNumberFormat="1" applyFont="1" applyFill="1" applyBorder="1" applyAlignment="1">
      <alignment horizontal="right" vertical="center"/>
    </xf>
    <xf numFmtId="3" fontId="25" fillId="0" borderId="12" xfId="0" applyNumberFormat="1" applyFont="1" applyBorder="1" applyAlignment="1">
      <alignment horizontal="right"/>
    </xf>
    <xf numFmtId="3" fontId="25" fillId="25" borderId="11" xfId="0" applyNumberFormat="1" applyFont="1" applyFill="1" applyBorder="1" applyAlignment="1">
      <alignment horizontal="right"/>
    </xf>
    <xf numFmtId="164" fontId="25" fillId="0" borderId="0" xfId="43" applyNumberFormat="1" applyFont="1" applyFill="1" applyAlignment="1"/>
    <xf numFmtId="0" fontId="25" fillId="0" borderId="0" xfId="0" applyFont="1" applyFill="1" applyBorder="1" applyAlignment="1">
      <alignment horizontal="left" vertical="top"/>
    </xf>
    <xf numFmtId="3" fontId="26" fillId="25" borderId="0" xfId="0" applyNumberFormat="1" applyFont="1" applyFill="1"/>
    <xf numFmtId="0" fontId="25" fillId="25" borderId="0" xfId="0" applyFont="1" applyFill="1" applyBorder="1" applyAlignment="1">
      <alignment horizontal="left" indent="1"/>
    </xf>
    <xf numFmtId="3" fontId="25" fillId="25" borderId="0" xfId="0" applyNumberFormat="1" applyFont="1" applyFill="1" applyBorder="1"/>
    <xf numFmtId="3" fontId="26" fillId="0" borderId="0" xfId="0" applyNumberFormat="1" applyFont="1"/>
    <xf numFmtId="0" fontId="25" fillId="0" borderId="0" xfId="0" applyFont="1" applyBorder="1" applyAlignment="1"/>
    <xf numFmtId="3" fontId="25" fillId="0" borderId="0" xfId="0" applyNumberFormat="1" applyFont="1" applyFill="1"/>
    <xf numFmtId="3" fontId="26" fillId="0" borderId="0" xfId="0" applyNumberFormat="1" applyFont="1" applyFill="1"/>
    <xf numFmtId="3" fontId="25" fillId="0" borderId="0" xfId="0" applyNumberFormat="1" applyFont="1" applyFill="1" applyBorder="1"/>
    <xf numFmtId="3" fontId="25" fillId="0" borderId="12" xfId="0" applyNumberFormat="1" applyFont="1" applyFill="1" applyBorder="1"/>
    <xf numFmtId="0" fontId="26" fillId="0" borderId="0" xfId="0" applyFont="1" applyAlignment="1">
      <alignment horizontal="left"/>
    </xf>
    <xf numFmtId="0" fontId="29" fillId="0" borderId="0" xfId="0" applyFont="1"/>
    <xf numFmtId="0" fontId="27" fillId="0" borderId="0" xfId="0" applyFont="1"/>
    <xf numFmtId="0" fontId="25" fillId="0" borderId="12" xfId="0" applyFont="1" applyBorder="1" applyAlignment="1">
      <alignment horizontal="left"/>
    </xf>
    <xf numFmtId="3" fontId="25" fillId="0" borderId="0" xfId="0" applyNumberFormat="1" applyFont="1" applyFill="1" applyBorder="1" applyAlignment="1">
      <alignment horizontal="right" vertical="center"/>
    </xf>
    <xf numFmtId="0" fontId="30" fillId="0" borderId="0" xfId="0" applyFont="1" applyAlignment="1">
      <alignment horizontal="left"/>
    </xf>
    <xf numFmtId="0" fontId="27" fillId="0" borderId="0" xfId="0" applyFont="1" applyAlignment="1">
      <alignment horizontal="left" indent="1"/>
    </xf>
    <xf numFmtId="0" fontId="25" fillId="0" borderId="0" xfId="34" applyFont="1" applyAlignment="1" applyProtection="1">
      <alignment horizontal="right" indent="1"/>
    </xf>
    <xf numFmtId="0" fontId="23" fillId="0" borderId="0" xfId="34" applyFont="1" applyAlignment="1" applyProtection="1">
      <alignment horizontal="center"/>
    </xf>
    <xf numFmtId="0" fontId="31" fillId="25" borderId="0" xfId="34" applyFont="1" applyFill="1" applyAlignment="1" applyProtection="1">
      <alignment horizontal="right"/>
    </xf>
    <xf numFmtId="0" fontId="32" fillId="25" borderId="0" xfId="0" applyFont="1" applyFill="1"/>
    <xf numFmtId="0" fontId="23" fillId="0" borderId="0" xfId="34" applyFont="1" applyAlignment="1" applyProtection="1">
      <alignment horizontal="left" indent="1"/>
    </xf>
    <xf numFmtId="0" fontId="26" fillId="24" borderId="14" xfId="0" applyFont="1" applyFill="1" applyBorder="1" applyAlignment="1">
      <alignment horizontal="right" vertical="center"/>
    </xf>
    <xf numFmtId="3" fontId="25" fillId="25" borderId="16" xfId="0" applyNumberFormat="1" applyFont="1" applyFill="1" applyBorder="1" applyAlignment="1">
      <alignment horizontal="right"/>
    </xf>
    <xf numFmtId="3" fontId="25" fillId="0" borderId="15" xfId="0" applyNumberFormat="1" applyFont="1" applyBorder="1"/>
    <xf numFmtId="3" fontId="25" fillId="0" borderId="17" xfId="0" applyNumberFormat="1" applyFont="1" applyBorder="1"/>
    <xf numFmtId="3" fontId="25" fillId="0" borderId="12" xfId="0" applyNumberFormat="1" applyFont="1" applyFill="1" applyBorder="1" applyAlignment="1">
      <alignment horizontal="right" vertical="center"/>
    </xf>
    <xf numFmtId="0" fontId="33" fillId="24" borderId="10" xfId="0" applyFont="1" applyFill="1" applyBorder="1" applyAlignment="1">
      <alignment vertical="center"/>
    </xf>
    <xf numFmtId="0" fontId="26" fillId="25" borderId="0" xfId="0" applyFont="1" applyFill="1" applyBorder="1"/>
    <xf numFmtId="0" fontId="26" fillId="0" borderId="0" xfId="0" applyFont="1" applyBorder="1"/>
    <xf numFmtId="0" fontId="25" fillId="0" borderId="11" xfId="0" applyFont="1" applyBorder="1" applyAlignment="1">
      <alignment horizontal="left" indent="1"/>
    </xf>
    <xf numFmtId="0" fontId="25" fillId="0" borderId="0" xfId="0" applyFont="1" applyAlignment="1">
      <alignment horizontal="left"/>
    </xf>
    <xf numFmtId="3" fontId="26" fillId="0" borderId="0" xfId="0" applyNumberFormat="1" applyFont="1" applyAlignment="1">
      <alignment horizontal="right"/>
    </xf>
    <xf numFmtId="3" fontId="26" fillId="25" borderId="0" xfId="0" applyNumberFormat="1" applyFont="1" applyFill="1" applyAlignment="1">
      <alignment horizontal="right"/>
    </xf>
    <xf numFmtId="0" fontId="25" fillId="0" borderId="0" xfId="0" applyFont="1" applyAlignment="1">
      <alignment wrapText="1"/>
    </xf>
    <xf numFmtId="0" fontId="25" fillId="0" borderId="0" xfId="0" applyFont="1" applyAlignment="1">
      <alignment vertical="center" wrapText="1"/>
    </xf>
    <xf numFmtId="0" fontId="26" fillId="25" borderId="0" xfId="0" applyFont="1" applyFill="1" applyAlignment="1">
      <alignment horizontal="left" vertical="center"/>
    </xf>
    <xf numFmtId="0" fontId="25" fillId="0" borderId="0" xfId="0" applyFont="1" applyAlignment="1">
      <alignment horizontal="left" vertical="top"/>
    </xf>
    <xf numFmtId="0" fontId="34" fillId="0" borderId="0" xfId="0" applyFont="1" applyAlignment="1">
      <alignment horizontal="right" vertical="top" indent="1"/>
    </xf>
    <xf numFmtId="0" fontId="25" fillId="0" borderId="0" xfId="0" applyFont="1" applyAlignment="1">
      <alignment vertical="top" wrapText="1"/>
    </xf>
    <xf numFmtId="0" fontId="24" fillId="0" borderId="0" xfId="0" applyFont="1" applyAlignment="1">
      <alignment horizontal="right" vertical="top" indent="1"/>
    </xf>
    <xf numFmtId="0" fontId="26" fillId="0" borderId="0" xfId="0" applyFont="1" applyFill="1" applyBorder="1"/>
    <xf numFmtId="0" fontId="25" fillId="0" borderId="0" xfId="0" quotePrefix="1" applyFont="1"/>
    <xf numFmtId="0" fontId="26" fillId="0" borderId="0" xfId="0" applyFont="1" applyFill="1" applyBorder="1" applyAlignment="1">
      <alignment horizontal="left" vertical="top"/>
    </xf>
    <xf numFmtId="0" fontId="25" fillId="0" borderId="0" xfId="0" applyFont="1" applyAlignment="1">
      <alignment horizontal="left" wrapText="1"/>
    </xf>
    <xf numFmtId="0" fontId="25" fillId="0" borderId="0" xfId="0" quotePrefix="1" applyFont="1" applyAlignment="1">
      <alignment horizontal="left" wrapText="1"/>
    </xf>
    <xf numFmtId="0" fontId="26" fillId="24" borderId="18" xfId="0" applyFont="1" applyFill="1" applyBorder="1" applyAlignment="1">
      <alignment horizontal="right" vertical="center"/>
    </xf>
    <xf numFmtId="0" fontId="26" fillId="24" borderId="17" xfId="0" applyFont="1" applyFill="1" applyBorder="1" applyAlignment="1">
      <alignment horizontal="right" vertical="center" wrapText="1"/>
    </xf>
    <xf numFmtId="0" fontId="26" fillId="0" borderId="0" xfId="0" applyFont="1" applyAlignment="1"/>
    <xf numFmtId="166" fontId="25" fillId="0" borderId="0" xfId="0" applyNumberFormat="1" applyFont="1" applyBorder="1"/>
    <xf numFmtId="166" fontId="25" fillId="25" borderId="0" xfId="0" applyNumberFormat="1" applyFont="1" applyFill="1" applyBorder="1"/>
    <xf numFmtId="0" fontId="35" fillId="0" borderId="0" xfId="0" applyFont="1"/>
    <xf numFmtId="0" fontId="35" fillId="0" borderId="0" xfId="0" applyFont="1" applyBorder="1"/>
    <xf numFmtId="0" fontId="36" fillId="0" borderId="0" xfId="0" applyFont="1" applyAlignment="1">
      <alignment horizontal="right"/>
    </xf>
    <xf numFmtId="164" fontId="35" fillId="0" borderId="0" xfId="0" applyNumberFormat="1" applyFont="1" applyBorder="1"/>
    <xf numFmtId="3" fontId="35" fillId="0" borderId="0" xfId="0" applyNumberFormat="1" applyFont="1" applyBorder="1"/>
    <xf numFmtId="3" fontId="35" fillId="0" borderId="0" xfId="0" applyNumberFormat="1" applyFont="1" applyAlignment="1">
      <alignment horizontal="right"/>
    </xf>
    <xf numFmtId="0" fontId="35" fillId="0" borderId="0" xfId="0" applyFont="1" applyFill="1" applyBorder="1"/>
    <xf numFmtId="0" fontId="35" fillId="0" borderId="0" xfId="0" applyFont="1" applyFill="1"/>
    <xf numFmtId="166" fontId="35" fillId="0" borderId="0" xfId="0" applyNumberFormat="1" applyFont="1" applyBorder="1"/>
    <xf numFmtId="0" fontId="37" fillId="0" borderId="0" xfId="0" applyFont="1"/>
    <xf numFmtId="0" fontId="38" fillId="0" borderId="0" xfId="0" applyFont="1"/>
    <xf numFmtId="0" fontId="38" fillId="0" borderId="0" xfId="0" applyFont="1" applyAlignment="1">
      <alignment horizontal="right" indent="1"/>
    </xf>
    <xf numFmtId="3" fontId="37" fillId="0" borderId="0" xfId="0" applyNumberFormat="1" applyFont="1"/>
    <xf numFmtId="164" fontId="37" fillId="0" borderId="0" xfId="0" applyNumberFormat="1" applyFont="1"/>
    <xf numFmtId="0" fontId="37" fillId="0" borderId="0" xfId="0" applyFont="1" applyAlignment="1">
      <alignment horizontal="left" indent="1"/>
    </xf>
    <xf numFmtId="3" fontId="25" fillId="25" borderId="0" xfId="0" applyNumberFormat="1" applyFont="1" applyFill="1" applyBorder="1" applyAlignment="1">
      <alignment horizontal="right"/>
    </xf>
    <xf numFmtId="164" fontId="25" fillId="0" borderId="0" xfId="0" applyNumberFormat="1" applyFont="1" applyBorder="1"/>
    <xf numFmtId="164" fontId="25" fillId="0" borderId="12" xfId="0" applyNumberFormat="1" applyFont="1" applyBorder="1"/>
    <xf numFmtId="0" fontId="25" fillId="0" borderId="0" xfId="0" applyFont="1" applyBorder="1" applyAlignment="1">
      <alignment horizontal="left"/>
    </xf>
    <xf numFmtId="167" fontId="37" fillId="0" borderId="0" xfId="0" applyNumberFormat="1" applyFont="1"/>
    <xf numFmtId="0" fontId="37" fillId="0" borderId="0" xfId="0" applyFont="1" applyAlignment="1">
      <alignment horizontal="right"/>
    </xf>
    <xf numFmtId="2" fontId="37" fillId="0" borderId="0" xfId="0" applyNumberFormat="1" applyFont="1"/>
    <xf numFmtId="165" fontId="37" fillId="0" borderId="0" xfId="0" applyNumberFormat="1" applyFont="1"/>
    <xf numFmtId="2" fontId="38" fillId="0" borderId="0" xfId="0" applyNumberFormat="1" applyFont="1"/>
    <xf numFmtId="3" fontId="39" fillId="0" borderId="0" xfId="0" applyNumberFormat="1" applyFont="1" applyAlignment="1">
      <alignment horizontal="right"/>
    </xf>
    <xf numFmtId="2" fontId="40" fillId="0" borderId="0" xfId="0" applyNumberFormat="1" applyFont="1"/>
    <xf numFmtId="165" fontId="25" fillId="0" borderId="0" xfId="0" applyNumberFormat="1" applyFont="1" applyBorder="1"/>
    <xf numFmtId="165" fontId="25" fillId="0" borderId="12" xfId="0" applyNumberFormat="1" applyFont="1" applyBorder="1"/>
    <xf numFmtId="166" fontId="26" fillId="25" borderId="0" xfId="0" applyNumberFormat="1" applyFont="1" applyFill="1"/>
    <xf numFmtId="166" fontId="25" fillId="25" borderId="11" xfId="0" applyNumberFormat="1" applyFont="1" applyFill="1" applyBorder="1"/>
    <xf numFmtId="166" fontId="25" fillId="0" borderId="0" xfId="0" applyNumberFormat="1" applyFont="1" applyFill="1" applyBorder="1"/>
    <xf numFmtId="166" fontId="26" fillId="0" borderId="0" xfId="0" applyNumberFormat="1" applyFont="1" applyFill="1"/>
    <xf numFmtId="166" fontId="25" fillId="0" borderId="0" xfId="0" applyNumberFormat="1" applyFont="1" applyFill="1"/>
    <xf numFmtId="166" fontId="25" fillId="0" borderId="12" xfId="0" applyNumberFormat="1" applyFont="1" applyFill="1" applyBorder="1"/>
    <xf numFmtId="166" fontId="26" fillId="0" borderId="0" xfId="0" applyNumberFormat="1" applyFont="1"/>
    <xf numFmtId="166" fontId="25" fillId="0" borderId="0" xfId="0" applyNumberFormat="1" applyFont="1"/>
    <xf numFmtId="166" fontId="25" fillId="0" borderId="12" xfId="0" applyNumberFormat="1" applyFont="1" applyBorder="1"/>
    <xf numFmtId="0" fontId="36" fillId="0" borderId="0" xfId="0" applyFont="1"/>
    <xf numFmtId="0" fontId="36" fillId="0" borderId="0" xfId="0" applyFont="1" applyBorder="1"/>
    <xf numFmtId="0" fontId="26" fillId="24" borderId="10" xfId="0" applyFont="1" applyFill="1" applyBorder="1" applyAlignment="1">
      <alignment horizontal="right" vertical="center" wrapText="1"/>
    </xf>
    <xf numFmtId="167" fontId="25" fillId="25" borderId="11" xfId="0" applyNumberFormat="1" applyFont="1" applyFill="1" applyBorder="1"/>
    <xf numFmtId="167" fontId="25" fillId="0" borderId="0" xfId="0" applyNumberFormat="1" applyFont="1" applyFill="1" applyBorder="1"/>
    <xf numFmtId="164" fontId="25" fillId="25" borderId="0" xfId="0" applyNumberFormat="1" applyFont="1" applyFill="1" applyBorder="1"/>
    <xf numFmtId="164" fontId="25" fillId="25" borderId="11" xfId="0" applyNumberFormat="1" applyFont="1" applyFill="1" applyBorder="1"/>
    <xf numFmtId="164" fontId="26" fillId="0" borderId="0" xfId="0" applyNumberFormat="1" applyFont="1"/>
    <xf numFmtId="164" fontId="25" fillId="0" borderId="0" xfId="0" applyNumberFormat="1" applyFont="1"/>
    <xf numFmtId="167" fontId="25" fillId="0" borderId="12" xfId="0" applyNumberFormat="1" applyFont="1" applyFill="1" applyBorder="1"/>
    <xf numFmtId="0" fontId="41" fillId="26" borderId="0" xfId="0" applyFont="1" applyFill="1"/>
    <xf numFmtId="0" fontId="39" fillId="26" borderId="0" xfId="0" applyFont="1" applyFill="1"/>
    <xf numFmtId="0" fontId="42" fillId="26" borderId="0" xfId="34" applyFont="1" applyFill="1" applyAlignment="1" applyProtection="1">
      <alignment horizontal="right"/>
    </xf>
    <xf numFmtId="0" fontId="41" fillId="26" borderId="0" xfId="0" applyFont="1" applyFill="1" applyAlignment="1">
      <alignment horizontal="left" indent="1"/>
    </xf>
    <xf numFmtId="0" fontId="43" fillId="26" borderId="0" xfId="0" applyFont="1" applyFill="1" applyAlignment="1">
      <alignment horizontal="left" indent="1"/>
    </xf>
    <xf numFmtId="0" fontId="44" fillId="26" borderId="0" xfId="0" applyFont="1" applyFill="1"/>
    <xf numFmtId="0" fontId="44" fillId="27" borderId="0" xfId="0" applyFont="1" applyFill="1" applyAlignment="1">
      <alignment vertical="center"/>
    </xf>
    <xf numFmtId="0" fontId="44" fillId="28" borderId="0" xfId="0" applyFont="1" applyFill="1" applyAlignment="1">
      <alignment vertical="center"/>
    </xf>
    <xf numFmtId="0" fontId="44" fillId="29" borderId="0" xfId="0" applyFont="1" applyFill="1" applyAlignment="1">
      <alignment vertical="center"/>
    </xf>
    <xf numFmtId="0" fontId="44" fillId="30" borderId="0" xfId="0" applyFont="1" applyFill="1" applyAlignment="1">
      <alignment vertical="center"/>
    </xf>
    <xf numFmtId="165" fontId="25" fillId="0" borderId="0" xfId="0" applyNumberFormat="1" applyFont="1" applyFill="1" applyBorder="1" applyAlignment="1">
      <alignment horizontal="right" vertical="center"/>
    </xf>
    <xf numFmtId="166" fontId="25" fillId="0" borderId="0" xfId="0" applyNumberFormat="1" applyFont="1" applyBorder="1" applyAlignment="1">
      <alignment horizontal="right"/>
    </xf>
    <xf numFmtId="0" fontId="44" fillId="31" borderId="0" xfId="0" applyFont="1" applyFill="1"/>
    <xf numFmtId="0" fontId="44" fillId="32" borderId="0" xfId="0" applyFont="1" applyFill="1"/>
    <xf numFmtId="0" fontId="25" fillId="26" borderId="0" xfId="0" applyFont="1" applyFill="1"/>
    <xf numFmtId="0" fontId="25" fillId="0" borderId="0" xfId="34" applyFont="1" applyFill="1" applyAlignment="1" applyProtection="1">
      <alignment horizontal="right" indent="1"/>
    </xf>
    <xf numFmtId="0" fontId="23" fillId="0" borderId="0" xfId="34" applyFont="1" applyFill="1" applyAlignment="1" applyProtection="1">
      <alignment horizontal="center"/>
    </xf>
    <xf numFmtId="0" fontId="25" fillId="25" borderId="19" xfId="0" applyFont="1" applyFill="1" applyBorder="1" applyAlignment="1">
      <alignment horizontal="left"/>
    </xf>
    <xf numFmtId="3" fontId="25" fillId="25" borderId="19" xfId="0" applyNumberFormat="1" applyFont="1" applyFill="1" applyBorder="1" applyAlignment="1">
      <alignment horizontal="right"/>
    </xf>
    <xf numFmtId="0" fontId="26" fillId="0" borderId="12" xfId="0" applyFont="1" applyBorder="1" applyAlignment="1">
      <alignment horizontal="left"/>
    </xf>
    <xf numFmtId="166" fontId="25" fillId="25" borderId="0" xfId="0" applyNumberFormat="1" applyFont="1" applyFill="1" applyBorder="1" applyAlignment="1">
      <alignment horizontal="right"/>
    </xf>
    <xf numFmtId="166" fontId="25" fillId="25" borderId="11" xfId="0" applyNumberFormat="1" applyFont="1" applyFill="1" applyBorder="1" applyAlignment="1">
      <alignment horizontal="right"/>
    </xf>
    <xf numFmtId="166" fontId="25" fillId="0" borderId="0" xfId="0" applyNumberFormat="1" applyFont="1" applyAlignment="1">
      <alignment horizontal="right"/>
    </xf>
    <xf numFmtId="166" fontId="26" fillId="0" borderId="0" xfId="0" applyNumberFormat="1" applyFont="1" applyFill="1" applyBorder="1" applyAlignment="1">
      <alignment horizontal="right" vertical="center"/>
    </xf>
    <xf numFmtId="166" fontId="25" fillId="0" borderId="12" xfId="0" applyNumberFormat="1" applyFont="1" applyBorder="1" applyAlignment="1">
      <alignment horizontal="right"/>
    </xf>
    <xf numFmtId="4" fontId="25" fillId="25" borderId="11" xfId="0" applyNumberFormat="1" applyFont="1" applyFill="1" applyBorder="1" applyAlignment="1">
      <alignment horizontal="right"/>
    </xf>
    <xf numFmtId="4" fontId="25" fillId="0" borderId="0" xfId="0" applyNumberFormat="1" applyFont="1" applyAlignment="1">
      <alignment horizontal="right"/>
    </xf>
    <xf numFmtId="4" fontId="26" fillId="0" borderId="0" xfId="0" applyNumberFormat="1" applyFont="1" applyFill="1" applyBorder="1" applyAlignment="1">
      <alignment horizontal="right" vertical="center"/>
    </xf>
    <xf numFmtId="4" fontId="25" fillId="0" borderId="0" xfId="0" applyNumberFormat="1" applyFont="1" applyBorder="1" applyAlignment="1">
      <alignment horizontal="right"/>
    </xf>
    <xf numFmtId="4" fontId="25" fillId="0" borderId="12" xfId="0" applyNumberFormat="1" applyFont="1" applyBorder="1" applyAlignment="1">
      <alignment horizontal="right"/>
    </xf>
    <xf numFmtId="166" fontId="25" fillId="25" borderId="0" xfId="0" applyNumberFormat="1" applyFont="1" applyFill="1"/>
    <xf numFmtId="168" fontId="37" fillId="0" borderId="0" xfId="0" applyNumberFormat="1" applyFont="1"/>
    <xf numFmtId="168" fontId="25" fillId="0" borderId="0" xfId="0" applyNumberFormat="1" applyFont="1"/>
    <xf numFmtId="169" fontId="25" fillId="0" borderId="0" xfId="0" applyNumberFormat="1" applyFont="1" applyBorder="1"/>
    <xf numFmtId="0" fontId="45" fillId="0" borderId="0" xfId="0" applyFont="1"/>
    <xf numFmtId="166" fontId="25" fillId="25" borderId="19" xfId="0" applyNumberFormat="1" applyFont="1" applyFill="1" applyBorder="1" applyAlignment="1">
      <alignment horizontal="right"/>
    </xf>
    <xf numFmtId="166" fontId="26" fillId="0" borderId="0" xfId="0" applyNumberFormat="1" applyFont="1" applyAlignment="1">
      <alignment horizontal="right"/>
    </xf>
    <xf numFmtId="0" fontId="26" fillId="0" borderId="0" xfId="0" applyFont="1" applyBorder="1" applyAlignment="1">
      <alignment horizontal="left"/>
    </xf>
    <xf numFmtId="164" fontId="25" fillId="0" borderId="0" xfId="0" applyNumberFormat="1" applyFont="1" applyBorder="1" applyAlignment="1">
      <alignment horizontal="right"/>
    </xf>
    <xf numFmtId="3" fontId="25" fillId="0" borderId="0" xfId="0" applyNumberFormat="1" applyFont="1" applyBorder="1" applyAlignment="1">
      <alignment horizontal="right" indent="1"/>
    </xf>
    <xf numFmtId="3" fontId="25" fillId="0" borderId="12" xfId="0" applyNumberFormat="1" applyFont="1" applyBorder="1" applyAlignment="1">
      <alignment horizontal="right" indent="1"/>
    </xf>
    <xf numFmtId="3" fontId="25" fillId="0" borderId="15" xfId="0" applyNumberFormat="1" applyFont="1" applyBorder="1" applyAlignment="1">
      <alignment horizontal="right"/>
    </xf>
    <xf numFmtId="166" fontId="25" fillId="0" borderId="15" xfId="0" applyNumberFormat="1" applyFont="1" applyBorder="1" applyAlignment="1">
      <alignment horizontal="right"/>
    </xf>
    <xf numFmtId="3" fontId="25" fillId="0" borderId="17" xfId="0" applyNumberFormat="1" applyFont="1" applyBorder="1" applyAlignment="1">
      <alignment horizontal="right"/>
    </xf>
    <xf numFmtId="0" fontId="26" fillId="0" borderId="12" xfId="0" applyFont="1" applyBorder="1"/>
    <xf numFmtId="3" fontId="26" fillId="0" borderId="12" xfId="0" applyNumberFormat="1" applyFont="1" applyBorder="1" applyAlignment="1">
      <alignment horizontal="right"/>
    </xf>
    <xf numFmtId="170" fontId="37" fillId="0" borderId="0" xfId="0" applyNumberFormat="1" applyFont="1"/>
    <xf numFmtId="0" fontId="38" fillId="0" borderId="0" xfId="0" applyFont="1" applyAlignment="1">
      <alignment wrapText="1"/>
    </xf>
    <xf numFmtId="0" fontId="38" fillId="0" borderId="0" xfId="0" applyFont="1" applyAlignment="1">
      <alignment horizontal="right" wrapText="1"/>
    </xf>
    <xf numFmtId="0" fontId="26" fillId="24" borderId="21" xfId="0" applyFont="1" applyFill="1" applyBorder="1" applyAlignment="1">
      <alignment horizontal="right" vertical="center" wrapText="1"/>
    </xf>
    <xf numFmtId="3" fontId="26" fillId="25" borderId="0" xfId="0" applyNumberFormat="1" applyFont="1" applyFill="1" applyBorder="1"/>
    <xf numFmtId="166" fontId="26" fillId="25" borderId="22" xfId="0" applyNumberFormat="1" applyFont="1" applyFill="1" applyBorder="1"/>
    <xf numFmtId="166" fontId="25" fillId="25" borderId="22" xfId="0" applyNumberFormat="1" applyFont="1" applyFill="1" applyBorder="1"/>
    <xf numFmtId="166" fontId="25" fillId="25" borderId="23" xfId="0" applyNumberFormat="1" applyFont="1" applyFill="1" applyBorder="1"/>
    <xf numFmtId="166" fontId="25" fillId="0" borderId="22" xfId="0" applyNumberFormat="1" applyFont="1" applyFill="1" applyBorder="1"/>
    <xf numFmtId="3" fontId="26" fillId="0" borderId="0" xfId="0" applyNumberFormat="1" applyFont="1" applyFill="1" applyBorder="1"/>
    <xf numFmtId="166" fontId="26" fillId="0" borderId="22" xfId="0" applyNumberFormat="1" applyFont="1" applyFill="1" applyBorder="1"/>
    <xf numFmtId="166" fontId="25" fillId="0" borderId="21" xfId="0" applyNumberFormat="1" applyFont="1" applyFill="1" applyBorder="1"/>
    <xf numFmtId="0" fontId="26" fillId="0" borderId="13" xfId="0" applyFont="1" applyFill="1" applyBorder="1"/>
    <xf numFmtId="3" fontId="26" fillId="0" borderId="13" xfId="0" applyNumberFormat="1" applyFont="1" applyFill="1" applyBorder="1"/>
    <xf numFmtId="0" fontId="25" fillId="0" borderId="0" xfId="0" applyFont="1" applyFill="1" applyBorder="1" applyAlignment="1">
      <alignment horizontal="left" indent="1"/>
    </xf>
    <xf numFmtId="0" fontId="25" fillId="0" borderId="12" xfId="0" applyFont="1" applyFill="1" applyBorder="1" applyAlignment="1">
      <alignment horizontal="left" indent="1"/>
    </xf>
    <xf numFmtId="0" fontId="37" fillId="0" borderId="0" xfId="0" applyFont="1" applyAlignment="1">
      <alignment horizontal="center"/>
    </xf>
    <xf numFmtId="0" fontId="25" fillId="0" borderId="0" xfId="0" applyFont="1" applyAlignment="1">
      <alignment horizontal="center"/>
    </xf>
    <xf numFmtId="164" fontId="37" fillId="0" borderId="0" xfId="0" applyNumberFormat="1" applyFont="1" applyAlignment="1">
      <alignment horizontal="center"/>
    </xf>
    <xf numFmtId="0" fontId="25" fillId="0" borderId="24" xfId="0" applyFont="1" applyBorder="1" applyAlignment="1">
      <alignment horizontal="left" indent="1"/>
    </xf>
    <xf numFmtId="164" fontId="25" fillId="0" borderId="24" xfId="0" applyNumberFormat="1" applyFont="1" applyBorder="1" applyAlignment="1">
      <alignment horizontal="right"/>
    </xf>
    <xf numFmtId="0" fontId="25" fillId="0" borderId="25" xfId="0" applyFont="1" applyBorder="1" applyAlignment="1">
      <alignment horizontal="left" indent="1"/>
    </xf>
    <xf numFmtId="164" fontId="25" fillId="0" borderId="25" xfId="0" applyNumberFormat="1" applyFont="1" applyBorder="1" applyAlignment="1">
      <alignment horizontal="right"/>
    </xf>
    <xf numFmtId="164" fontId="25" fillId="0" borderId="0" xfId="0" applyNumberFormat="1" applyFont="1" applyAlignment="1">
      <alignment horizontal="right"/>
    </xf>
    <xf numFmtId="164" fontId="35" fillId="0" borderId="0" xfId="0" applyNumberFormat="1" applyFont="1"/>
    <xf numFmtId="3" fontId="25" fillId="0" borderId="15" xfId="0" applyNumberFormat="1" applyFont="1" applyFill="1" applyBorder="1" applyAlignment="1">
      <alignment horizontal="right" vertical="center"/>
    </xf>
    <xf numFmtId="165" fontId="25" fillId="0" borderId="15" xfId="0" applyNumberFormat="1" applyFont="1" applyFill="1" applyBorder="1" applyAlignment="1">
      <alignment horizontal="right" vertical="center"/>
    </xf>
    <xf numFmtId="3" fontId="25" fillId="0" borderId="17" xfId="0" applyNumberFormat="1" applyFont="1" applyFill="1" applyBorder="1" applyAlignment="1">
      <alignment horizontal="right" vertical="center"/>
    </xf>
    <xf numFmtId="3" fontId="35" fillId="25" borderId="26" xfId="0" applyNumberFormat="1" applyFont="1" applyFill="1" applyBorder="1" applyAlignment="1">
      <alignment vertical="center"/>
    </xf>
    <xf numFmtId="0" fontId="35" fillId="0" borderId="27" xfId="0" applyFont="1" applyBorder="1" applyAlignment="1">
      <alignment horizontal="right" wrapText="1"/>
    </xf>
    <xf numFmtId="3" fontId="35" fillId="0" borderId="27" xfId="0" applyNumberFormat="1" applyFont="1" applyBorder="1" applyAlignment="1">
      <alignment horizontal="right"/>
    </xf>
    <xf numFmtId="0" fontId="35" fillId="0" borderId="28" xfId="0" applyFont="1" applyBorder="1" applyAlignment="1">
      <alignment horizontal="right" wrapText="1"/>
    </xf>
    <xf numFmtId="3" fontId="35" fillId="0" borderId="28" xfId="0" applyNumberFormat="1" applyFont="1" applyBorder="1" applyAlignment="1">
      <alignment horizontal="right"/>
    </xf>
    <xf numFmtId="0" fontId="37" fillId="0" borderId="0" xfId="0" applyFont="1" applyAlignment="1">
      <alignment horizontal="left"/>
    </xf>
    <xf numFmtId="3" fontId="35" fillId="25" borderId="26" xfId="0" applyNumberFormat="1" applyFont="1" applyFill="1" applyBorder="1" applyAlignment="1">
      <alignment horizontal="right" vertical="center" wrapText="1"/>
    </xf>
    <xf numFmtId="166" fontId="35" fillId="0" borderId="28" xfId="0" applyNumberFormat="1" applyFont="1" applyBorder="1" applyAlignment="1">
      <alignment horizontal="right"/>
    </xf>
    <xf numFmtId="166" fontId="35" fillId="0" borderId="27" xfId="0" applyNumberFormat="1" applyFont="1" applyBorder="1" applyAlignment="1">
      <alignment horizontal="right"/>
    </xf>
    <xf numFmtId="0" fontId="35" fillId="0" borderId="28" xfId="0" applyFont="1" applyBorder="1" applyAlignment="1">
      <alignment horizontal="left"/>
    </xf>
    <xf numFmtId="0" fontId="35" fillId="0" borderId="27" xfId="0" applyFont="1" applyBorder="1" applyAlignment="1">
      <alignment horizontal="left"/>
    </xf>
    <xf numFmtId="10" fontId="25" fillId="0" borderId="0" xfId="0" applyNumberFormat="1" applyFont="1"/>
    <xf numFmtId="169" fontId="25" fillId="0" borderId="0" xfId="0" applyNumberFormat="1" applyFont="1"/>
    <xf numFmtId="49" fontId="37" fillId="0" borderId="0" xfId="0" quotePrefix="1" applyNumberFormat="1" applyFont="1" applyAlignment="1">
      <alignment horizontal="left"/>
    </xf>
    <xf numFmtId="171" fontId="25" fillId="25" borderId="0" xfId="0" applyNumberFormat="1" applyFont="1" applyFill="1" applyBorder="1"/>
    <xf numFmtId="171" fontId="25" fillId="0" borderId="0" xfId="0" applyNumberFormat="1" applyFont="1" applyFill="1" applyBorder="1"/>
    <xf numFmtId="3" fontId="25" fillId="25" borderId="15" xfId="0" applyNumberFormat="1" applyFont="1" applyFill="1" applyBorder="1" applyAlignment="1">
      <alignment horizontal="right"/>
    </xf>
    <xf numFmtId="0" fontId="26" fillId="0" borderId="15" xfId="0" applyFont="1" applyFill="1" applyBorder="1" applyAlignment="1">
      <alignment horizontal="right" vertical="center"/>
    </xf>
    <xf numFmtId="0" fontId="33" fillId="0" borderId="0" xfId="0" applyFont="1"/>
    <xf numFmtId="0" fontId="27" fillId="33" borderId="0" xfId="0" applyFont="1" applyFill="1" applyBorder="1" applyAlignment="1">
      <alignment horizontal="left" indent="1"/>
    </xf>
    <xf numFmtId="166" fontId="48" fillId="33" borderId="0" xfId="0" applyNumberFormat="1" applyFont="1" applyFill="1" applyBorder="1"/>
    <xf numFmtId="3" fontId="48" fillId="33" borderId="0" xfId="0" applyNumberFormat="1" applyFont="1" applyFill="1" applyBorder="1"/>
    <xf numFmtId="0" fontId="25" fillId="0" borderId="0" xfId="0" applyFont="1" applyAlignment="1">
      <alignment horizontal="left" wrapText="1"/>
    </xf>
    <xf numFmtId="4" fontId="25" fillId="0" borderId="12" xfId="0" applyNumberFormat="1" applyFont="1" applyFill="1" applyBorder="1"/>
    <xf numFmtId="0" fontId="26" fillId="25" borderId="0" xfId="0" applyFont="1" applyFill="1" applyAlignment="1">
      <alignment horizontal="left"/>
    </xf>
    <xf numFmtId="3" fontId="26" fillId="25" borderId="15" xfId="0" applyNumberFormat="1" applyFont="1" applyFill="1" applyBorder="1"/>
    <xf numFmtId="3" fontId="27" fillId="0" borderId="29" xfId="0" applyNumberFormat="1" applyFont="1" applyFill="1" applyBorder="1"/>
    <xf numFmtId="166" fontId="27" fillId="0" borderId="29" xfId="0" applyNumberFormat="1" applyFont="1" applyFill="1" applyBorder="1"/>
    <xf numFmtId="3" fontId="27" fillId="0" borderId="30" xfId="0" applyNumberFormat="1" applyFont="1" applyBorder="1"/>
    <xf numFmtId="3" fontId="27" fillId="0" borderId="29" xfId="0" applyNumberFormat="1" applyFont="1" applyBorder="1"/>
    <xf numFmtId="166" fontId="27" fillId="0" borderId="29" xfId="0" applyNumberFormat="1" applyFont="1" applyBorder="1"/>
    <xf numFmtId="0" fontId="27" fillId="0" borderId="0" xfId="0" applyFont="1" applyBorder="1" applyAlignment="1">
      <alignment horizontal="left" indent="1"/>
    </xf>
    <xf numFmtId="3" fontId="27" fillId="0" borderId="0" xfId="0" applyNumberFormat="1" applyFont="1" applyFill="1" applyBorder="1"/>
    <xf numFmtId="166" fontId="27" fillId="0" borderId="0" xfId="0" applyNumberFormat="1" applyFont="1" applyFill="1" applyBorder="1"/>
    <xf numFmtId="3" fontId="27" fillId="0" borderId="15" xfId="0" applyNumberFormat="1" applyFont="1" applyBorder="1"/>
    <xf numFmtId="3" fontId="27" fillId="0" borderId="0" xfId="0" applyNumberFormat="1" applyFont="1" applyBorder="1"/>
    <xf numFmtId="166" fontId="27" fillId="0" borderId="0" xfId="0" applyNumberFormat="1" applyFont="1" applyBorder="1"/>
    <xf numFmtId="3" fontId="27" fillId="0" borderId="11" xfId="0" applyNumberFormat="1" applyFont="1" applyFill="1" applyBorder="1"/>
    <xf numFmtId="166" fontId="27" fillId="0" borderId="11" xfId="0" applyNumberFormat="1" applyFont="1" applyFill="1" applyBorder="1"/>
    <xf numFmtId="3" fontId="27" fillId="0" borderId="16" xfId="0" applyNumberFormat="1" applyFont="1" applyBorder="1"/>
    <xf numFmtId="3" fontId="27" fillId="0" borderId="11" xfId="0" applyNumberFormat="1" applyFont="1" applyBorder="1"/>
    <xf numFmtId="166" fontId="27" fillId="0" borderId="11" xfId="0" applyNumberFormat="1" applyFont="1" applyBorder="1"/>
    <xf numFmtId="0" fontId="27" fillId="0" borderId="29" xfId="0" applyFont="1" applyBorder="1" applyAlignment="1">
      <alignment horizontal="left" indent="2"/>
    </xf>
    <xf numFmtId="0" fontId="27" fillId="0" borderId="0" xfId="0" applyFont="1" applyBorder="1" applyAlignment="1">
      <alignment horizontal="left" indent="2"/>
    </xf>
    <xf numFmtId="0" fontId="27" fillId="0" borderId="11" xfId="0" applyFont="1" applyBorder="1" applyAlignment="1">
      <alignment horizontal="left" indent="2"/>
    </xf>
    <xf numFmtId="0" fontId="30" fillId="0" borderId="0" xfId="0" applyFont="1"/>
    <xf numFmtId="0" fontId="30" fillId="0" borderId="0" xfId="0" applyFont="1" applyFill="1" applyBorder="1" applyAlignment="1">
      <alignment horizontal="right" vertical="center"/>
    </xf>
    <xf numFmtId="3" fontId="27" fillId="0" borderId="0" xfId="0" applyNumberFormat="1" applyFont="1" applyAlignment="1">
      <alignment horizontal="right"/>
    </xf>
    <xf numFmtId="166" fontId="27" fillId="0" borderId="0" xfId="0" applyNumberFormat="1" applyFont="1" applyBorder="1" applyAlignment="1">
      <alignment horizontal="right"/>
    </xf>
    <xf numFmtId="3" fontId="27" fillId="0" borderId="0" xfId="0" applyNumberFormat="1" applyFont="1" applyBorder="1" applyAlignment="1">
      <alignment horizontal="right"/>
    </xf>
    <xf numFmtId="0" fontId="30" fillId="0" borderId="29" xfId="0" applyFont="1" applyBorder="1"/>
    <xf numFmtId="0" fontId="30" fillId="0" borderId="29" xfId="0" applyFont="1" applyFill="1" applyBorder="1" applyAlignment="1">
      <alignment horizontal="right" vertical="center"/>
    </xf>
    <xf numFmtId="3" fontId="27" fillId="0" borderId="12" xfId="0" applyNumberFormat="1" applyFont="1" applyBorder="1" applyAlignment="1">
      <alignment horizontal="right"/>
    </xf>
    <xf numFmtId="0" fontId="27" fillId="0" borderId="12" xfId="0" applyFont="1" applyBorder="1" applyAlignment="1">
      <alignment horizontal="left" indent="1"/>
    </xf>
    <xf numFmtId="0" fontId="25" fillId="25" borderId="0" xfId="0" applyFont="1" applyFill="1" applyBorder="1"/>
    <xf numFmtId="3" fontId="35" fillId="25" borderId="27" xfId="0" applyNumberFormat="1" applyFont="1" applyFill="1" applyBorder="1" applyAlignment="1">
      <alignment vertical="center"/>
    </xf>
    <xf numFmtId="0" fontId="36" fillId="25" borderId="27" xfId="0" applyFont="1" applyFill="1" applyBorder="1" applyAlignment="1">
      <alignment horizontal="right" vertical="center"/>
    </xf>
    <xf numFmtId="3" fontId="35" fillId="25" borderId="31" xfId="0" applyNumberFormat="1" applyFont="1" applyFill="1" applyBorder="1" applyAlignment="1">
      <alignment horizontal="right" vertical="center"/>
    </xf>
    <xf numFmtId="0" fontId="35" fillId="25" borderId="31" xfId="0" applyFont="1" applyFill="1" applyBorder="1" applyAlignment="1">
      <alignment horizontal="right" vertical="center"/>
    </xf>
    <xf numFmtId="3" fontId="26" fillId="25" borderId="15" xfId="0" applyNumberFormat="1" applyFont="1" applyFill="1" applyBorder="1" applyAlignment="1">
      <alignment horizontal="right"/>
    </xf>
    <xf numFmtId="3" fontId="26" fillId="0" borderId="15" xfId="0" applyNumberFormat="1" applyFont="1" applyFill="1" applyBorder="1" applyAlignment="1">
      <alignment horizontal="right" vertical="center"/>
    </xf>
    <xf numFmtId="3" fontId="26" fillId="0" borderId="17" xfId="0" applyNumberFormat="1" applyFont="1" applyBorder="1" applyAlignment="1">
      <alignment horizontal="right"/>
    </xf>
    <xf numFmtId="0" fontId="40" fillId="24" borderId="13" xfId="0" applyFont="1" applyFill="1" applyBorder="1" applyAlignment="1">
      <alignment horizontal="right" vertical="center"/>
    </xf>
    <xf numFmtId="166" fontId="26" fillId="0" borderId="12" xfId="0" applyNumberFormat="1" applyFont="1" applyBorder="1" applyAlignment="1">
      <alignment horizontal="right"/>
    </xf>
    <xf numFmtId="0" fontId="44" fillId="31" borderId="0" xfId="0" applyFont="1" applyFill="1" applyAlignment="1">
      <alignment horizontal="left" vertical="center" indent="1"/>
    </xf>
    <xf numFmtId="0" fontId="44" fillId="26" borderId="0" xfId="0" applyFont="1" applyFill="1" applyAlignment="1">
      <alignment horizontal="left" vertical="center" indent="1"/>
    </xf>
    <xf numFmtId="0" fontId="44" fillId="30" borderId="0" xfId="0" applyFont="1" applyFill="1" applyAlignment="1">
      <alignment horizontal="left" vertical="center" indent="1"/>
    </xf>
    <xf numFmtId="0" fontId="44" fillId="29" borderId="0" xfId="0" applyFont="1" applyFill="1" applyAlignment="1">
      <alignment horizontal="left" vertical="center" indent="1"/>
    </xf>
    <xf numFmtId="0" fontId="44" fillId="28" borderId="0" xfId="0" applyFont="1" applyFill="1" applyAlignment="1">
      <alignment horizontal="left" vertical="center" indent="1"/>
    </xf>
    <xf numFmtId="0" fontId="44" fillId="27" borderId="0" xfId="0" applyFont="1" applyFill="1" applyAlignment="1">
      <alignment horizontal="left" vertical="center" indent="1"/>
    </xf>
    <xf numFmtId="172" fontId="25" fillId="0" borderId="0" xfId="0" applyNumberFormat="1" applyFont="1"/>
    <xf numFmtId="3" fontId="49" fillId="24" borderId="13" xfId="0" applyNumberFormat="1" applyFont="1" applyFill="1" applyBorder="1" applyAlignment="1">
      <alignment horizontal="left" vertical="center"/>
    </xf>
    <xf numFmtId="3" fontId="49" fillId="24" borderId="13" xfId="0" applyNumberFormat="1" applyFont="1" applyFill="1" applyBorder="1" applyAlignment="1">
      <alignment horizontal="right" vertical="center"/>
    </xf>
    <xf numFmtId="3" fontId="50" fillId="24" borderId="12" xfId="0" applyNumberFormat="1" applyFont="1" applyFill="1" applyBorder="1" applyAlignment="1">
      <alignment horizontal="right" vertical="center"/>
    </xf>
    <xf numFmtId="0" fontId="26" fillId="24" borderId="17" xfId="0" applyFont="1" applyFill="1" applyBorder="1" applyAlignment="1">
      <alignment horizontal="right" vertical="center"/>
    </xf>
    <xf numFmtId="0" fontId="25" fillId="25" borderId="15" xfId="0" applyFont="1" applyFill="1" applyBorder="1"/>
    <xf numFmtId="164" fontId="25" fillId="0" borderId="15" xfId="0" applyNumberFormat="1" applyFont="1" applyBorder="1" applyAlignment="1">
      <alignment horizontal="right"/>
    </xf>
    <xf numFmtId="3" fontId="25" fillId="25" borderId="15" xfId="0" applyNumberFormat="1" applyFont="1" applyFill="1" applyBorder="1"/>
    <xf numFmtId="166" fontId="25" fillId="25" borderId="15" xfId="0" applyNumberFormat="1" applyFont="1" applyFill="1" applyBorder="1"/>
    <xf numFmtId="0" fontId="25" fillId="0" borderId="0" xfId="0" applyFont="1" applyAlignment="1">
      <alignment horizontal="left" wrapText="1"/>
    </xf>
    <xf numFmtId="0" fontId="34" fillId="0" borderId="0" xfId="0" applyFont="1"/>
    <xf numFmtId="166" fontId="25" fillId="25" borderId="15" xfId="0" applyNumberFormat="1" applyFont="1" applyFill="1" applyBorder="1" applyAlignment="1">
      <alignment horizontal="right"/>
    </xf>
    <xf numFmtId="165" fontId="25" fillId="0" borderId="0" xfId="0" applyNumberFormat="1" applyFont="1"/>
    <xf numFmtId="164" fontId="25" fillId="0" borderId="0" xfId="43" applyNumberFormat="1" applyFont="1"/>
    <xf numFmtId="164" fontId="25" fillId="25" borderId="0" xfId="43" applyNumberFormat="1" applyFont="1" applyFill="1"/>
    <xf numFmtId="3" fontId="26" fillId="25" borderId="0" xfId="0" applyNumberFormat="1" applyFont="1" applyFill="1" applyBorder="1" applyAlignment="1">
      <alignment horizontal="right"/>
    </xf>
    <xf numFmtId="0" fontId="53" fillId="0" borderId="0" xfId="0" applyFont="1"/>
    <xf numFmtId="0" fontId="53" fillId="0" borderId="0" xfId="0" applyFont="1" applyAlignment="1">
      <alignment horizontal="center" vertical="center"/>
    </xf>
    <xf numFmtId="173" fontId="53" fillId="0" borderId="0" xfId="48" applyNumberFormat="1" applyFont="1"/>
    <xf numFmtId="1" fontId="25" fillId="0" borderId="0" xfId="0" applyNumberFormat="1" applyFont="1"/>
    <xf numFmtId="0" fontId="26" fillId="24" borderId="0" xfId="0" applyFont="1" applyFill="1" applyAlignment="1">
      <alignment vertical="center"/>
    </xf>
    <xf numFmtId="0" fontId="39" fillId="0" borderId="0" xfId="0" applyFont="1" applyBorder="1"/>
    <xf numFmtId="4" fontId="25" fillId="25" borderId="0" xfId="0" applyNumberFormat="1" applyFont="1" applyFill="1" applyBorder="1" applyAlignment="1">
      <alignment horizontal="right"/>
    </xf>
    <xf numFmtId="173" fontId="35" fillId="0" borderId="0" xfId="48" applyNumberFormat="1" applyFont="1"/>
    <xf numFmtId="164" fontId="35" fillId="0" borderId="0" xfId="43" applyNumberFormat="1" applyFont="1"/>
    <xf numFmtId="1" fontId="35" fillId="0" borderId="0" xfId="43" applyNumberFormat="1" applyFont="1"/>
    <xf numFmtId="1" fontId="35" fillId="0" borderId="0" xfId="0" applyNumberFormat="1" applyFont="1"/>
    <xf numFmtId="3" fontId="36" fillId="0" borderId="0" xfId="0" applyNumberFormat="1" applyFont="1" applyFill="1" applyBorder="1" applyAlignment="1">
      <alignment horizontal="right" vertical="center"/>
    </xf>
    <xf numFmtId="4" fontId="36" fillId="0" borderId="0" xfId="0" applyNumberFormat="1" applyFont="1" applyFill="1" applyBorder="1" applyAlignment="1">
      <alignment horizontal="right" vertical="center"/>
    </xf>
    <xf numFmtId="1" fontId="35" fillId="0" borderId="0" xfId="0" applyNumberFormat="1" applyFont="1" applyAlignment="1">
      <alignment horizontal="center"/>
    </xf>
    <xf numFmtId="3" fontId="25" fillId="0" borderId="0" xfId="0" applyNumberFormat="1" applyFont="1" applyFill="1" applyBorder="1" applyAlignment="1">
      <alignment horizontal="right"/>
    </xf>
    <xf numFmtId="0" fontId="25" fillId="0" borderId="0" xfId="0" applyFont="1" applyFill="1" applyBorder="1" applyAlignment="1">
      <alignment horizontal="right" vertical="center"/>
    </xf>
    <xf numFmtId="0" fontId="25" fillId="0" borderId="0" xfId="0" applyFont="1" applyAlignment="1">
      <alignment horizontal="right"/>
    </xf>
    <xf numFmtId="0" fontId="26" fillId="0" borderId="0" xfId="0" applyFont="1" applyBorder="1" applyAlignment="1"/>
    <xf numFmtId="0" fontId="4" fillId="0" borderId="0" xfId="34" applyAlignment="1" applyProtection="1"/>
    <xf numFmtId="3" fontId="27" fillId="0" borderId="0" xfId="0" applyNumberFormat="1" applyFont="1" applyFill="1" applyBorder="1" applyAlignment="1">
      <alignment horizontal="right"/>
    </xf>
    <xf numFmtId="1" fontId="25" fillId="0" borderId="0" xfId="43" applyNumberFormat="1" applyFont="1"/>
    <xf numFmtId="164" fontId="25" fillId="0" borderId="29" xfId="0" applyNumberFormat="1" applyFont="1" applyBorder="1"/>
    <xf numFmtId="0" fontId="39" fillId="0" borderId="0" xfId="0" applyFont="1" applyFill="1" applyBorder="1"/>
    <xf numFmtId="0" fontId="98" fillId="0" borderId="0" xfId="0" applyFont="1" applyFill="1" applyBorder="1" applyAlignment="1">
      <alignment vertical="center"/>
    </xf>
    <xf numFmtId="0" fontId="44" fillId="0" borderId="0" xfId="0" applyFont="1" applyFill="1" applyBorder="1" applyAlignment="1">
      <alignment horizontal="right" vertical="center"/>
    </xf>
    <xf numFmtId="0" fontId="44" fillId="0" borderId="0" xfId="0" applyFont="1" applyFill="1" applyBorder="1"/>
    <xf numFmtId="3" fontId="39" fillId="0" borderId="0" xfId="0" applyNumberFormat="1" applyFont="1" applyFill="1" applyBorder="1"/>
    <xf numFmtId="0" fontId="39" fillId="0" borderId="0" xfId="0" applyFont="1" applyFill="1" applyBorder="1" applyAlignment="1">
      <alignment horizontal="left" indent="1"/>
    </xf>
    <xf numFmtId="3" fontId="39" fillId="0" borderId="0" xfId="0" applyNumberFormat="1" applyFont="1" applyFill="1" applyBorder="1" applyAlignment="1">
      <alignment horizontal="right"/>
    </xf>
    <xf numFmtId="164" fontId="39" fillId="0" borderId="0" xfId="0" applyNumberFormat="1" applyFont="1" applyFill="1" applyBorder="1"/>
    <xf numFmtId="0" fontId="26" fillId="24" borderId="0" xfId="0" applyFont="1" applyFill="1" applyAlignment="1">
      <alignment horizontal="left" vertical="center" indent="1"/>
    </xf>
    <xf numFmtId="0" fontId="25" fillId="0" borderId="0" xfId="0" applyFont="1" applyAlignment="1">
      <alignment horizontal="left" vertical="top" wrapText="1"/>
    </xf>
    <xf numFmtId="0" fontId="36" fillId="0" borderId="0" xfId="0" applyFont="1" applyAlignment="1">
      <alignment horizontal="center"/>
    </xf>
    <xf numFmtId="0" fontId="26" fillId="24" borderId="10" xfId="0" applyFont="1" applyFill="1" applyBorder="1" applyAlignment="1">
      <alignment horizontal="center" vertical="center"/>
    </xf>
    <xf numFmtId="0" fontId="26" fillId="24" borderId="20" xfId="0" applyFont="1" applyFill="1" applyBorder="1" applyAlignment="1">
      <alignment horizontal="center" vertical="center"/>
    </xf>
    <xf numFmtId="0" fontId="25" fillId="0" borderId="0" xfId="0" applyFont="1" applyAlignment="1">
      <alignment horizontal="left" wrapText="1"/>
    </xf>
    <xf numFmtId="0" fontId="25" fillId="0" borderId="0" xfId="0" quotePrefix="1" applyFont="1" applyAlignment="1">
      <alignment horizontal="left" wrapText="1"/>
    </xf>
    <xf numFmtId="0" fontId="25" fillId="0" borderId="0" xfId="0" applyFont="1" applyBorder="1" applyAlignment="1">
      <alignment horizontal="left" wrapText="1"/>
    </xf>
    <xf numFmtId="0" fontId="25" fillId="0" borderId="13" xfId="0" applyFont="1" applyBorder="1" applyAlignment="1">
      <alignment horizontal="left" wrapText="1"/>
    </xf>
    <xf numFmtId="0" fontId="51" fillId="0" borderId="0" xfId="0" applyFont="1" applyAlignment="1">
      <alignment horizontal="center"/>
    </xf>
    <xf numFmtId="0" fontId="35" fillId="0" borderId="0" xfId="0" applyFont="1" applyAlignment="1">
      <alignment horizontal="center"/>
    </xf>
  </cellXfs>
  <cellStyles count="411">
    <cellStyle name="%" xfId="49"/>
    <cellStyle name="% 2" xfId="50"/>
    <cellStyle name="%_PEF FSBR2011" xfId="51"/>
    <cellStyle name="]_x000d__x000a_Zoomed=1_x000d__x000a_Row=0_x000d__x000a_Column=0_x000d__x000a_Height=0_x000d__x000a_Width=0_x000d__x000a_FontName=FoxFont_x000d__x000a_FontStyle=0_x000d__x000a_FontSize=9_x000d__x000a_PrtFontName=FoxPrin" xfId="52"/>
    <cellStyle name="_TableHead" xfId="53"/>
    <cellStyle name="1dp" xfId="54"/>
    <cellStyle name="1dp 2" xfId="55"/>
    <cellStyle name="20% - Accent1" xfId="1" builtinId="30" customBuiltin="1"/>
    <cellStyle name="20% - Accent1 2" xfId="56"/>
    <cellStyle name="20% - Accent2" xfId="2" builtinId="34" customBuiltin="1"/>
    <cellStyle name="20% - Accent2 2" xfId="57"/>
    <cellStyle name="20% - Accent3" xfId="3" builtinId="38" customBuiltin="1"/>
    <cellStyle name="20% - Accent3 2" xfId="58"/>
    <cellStyle name="20% - Accent4" xfId="4" builtinId="42" customBuiltin="1"/>
    <cellStyle name="20% - Accent4 2" xfId="59"/>
    <cellStyle name="20% - Accent5" xfId="5" builtinId="46" customBuiltin="1"/>
    <cellStyle name="20% - Accent5 2" xfId="60"/>
    <cellStyle name="20% - Accent6" xfId="6" builtinId="50" customBuiltin="1"/>
    <cellStyle name="20% - Accent6 2" xfId="61"/>
    <cellStyle name="3dp" xfId="62"/>
    <cellStyle name="3dp 2" xfId="63"/>
    <cellStyle name="40% - Accent1" xfId="7" builtinId="31" customBuiltin="1"/>
    <cellStyle name="40% - Accent1 2" xfId="64"/>
    <cellStyle name="40% - Accent2" xfId="8" builtinId="35" customBuiltin="1"/>
    <cellStyle name="40% - Accent2 2" xfId="65"/>
    <cellStyle name="40% - Accent3" xfId="9" builtinId="39" customBuiltin="1"/>
    <cellStyle name="40% - Accent3 2" xfId="66"/>
    <cellStyle name="40% - Accent4" xfId="10" builtinId="43" customBuiltin="1"/>
    <cellStyle name="40% - Accent4 2" xfId="67"/>
    <cellStyle name="40% - Accent5" xfId="11" builtinId="47" customBuiltin="1"/>
    <cellStyle name="40% - Accent5 2" xfId="68"/>
    <cellStyle name="40% - Accent6" xfId="12" builtinId="51" customBuiltin="1"/>
    <cellStyle name="40% - Accent6 2" xfId="69"/>
    <cellStyle name="4dp" xfId="70"/>
    <cellStyle name="4dp 2" xfId="71"/>
    <cellStyle name="60% - Accent1" xfId="13" builtinId="32" customBuiltin="1"/>
    <cellStyle name="60% - Accent1 2" xfId="72"/>
    <cellStyle name="60% - Accent2" xfId="14" builtinId="36" customBuiltin="1"/>
    <cellStyle name="60% - Accent2 2" xfId="73"/>
    <cellStyle name="60% - Accent3" xfId="15" builtinId="40" customBuiltin="1"/>
    <cellStyle name="60% - Accent3 2" xfId="74"/>
    <cellStyle name="60% - Accent4" xfId="16" builtinId="44" customBuiltin="1"/>
    <cellStyle name="60% - Accent4 2" xfId="75"/>
    <cellStyle name="60% - Accent5" xfId="17" builtinId="48" customBuiltin="1"/>
    <cellStyle name="60% - Accent5 2" xfId="76"/>
    <cellStyle name="60% - Accent6" xfId="18" builtinId="52" customBuiltin="1"/>
    <cellStyle name="60% - Accent6 2" xfId="77"/>
    <cellStyle name="Accent1" xfId="19" builtinId="29" customBuiltin="1"/>
    <cellStyle name="Accent1 2" xfId="78"/>
    <cellStyle name="Accent2" xfId="20" builtinId="33" customBuiltin="1"/>
    <cellStyle name="Accent2 2" xfId="79"/>
    <cellStyle name="Accent3" xfId="21" builtinId="37" customBuiltin="1"/>
    <cellStyle name="Accent3 2" xfId="80"/>
    <cellStyle name="Accent4" xfId="22" builtinId="41" customBuiltin="1"/>
    <cellStyle name="Accent4 2" xfId="81"/>
    <cellStyle name="Accent5" xfId="23" builtinId="45" customBuiltin="1"/>
    <cellStyle name="Accent5 2" xfId="82"/>
    <cellStyle name="Accent6" xfId="24" builtinId="49" customBuiltin="1"/>
    <cellStyle name="Accent6 2" xfId="83"/>
    <cellStyle name="Bad" xfId="25" builtinId="27" customBuiltin="1"/>
    <cellStyle name="Bad 2" xfId="84"/>
    <cellStyle name="Bid £m format" xfId="85"/>
    <cellStyle name="Calculation" xfId="26" builtinId="22" customBuiltin="1"/>
    <cellStyle name="Calculation 2" xfId="86"/>
    <cellStyle name="Check Cell" xfId="27" builtinId="23" customBuiltin="1"/>
    <cellStyle name="Check Cell 2" xfId="87"/>
    <cellStyle name="CIL" xfId="88"/>
    <cellStyle name="CIU" xfId="89"/>
    <cellStyle name="Comma" xfId="48" builtinId="3"/>
    <cellStyle name="Comma [0] 2" xfId="91"/>
    <cellStyle name="Comma [0] 3" xfId="92"/>
    <cellStyle name="Comma [0] 4" xfId="93"/>
    <cellStyle name="Comma 2" xfId="94"/>
    <cellStyle name="Comma 3" xfId="95"/>
    <cellStyle name="Comma 3 2" xfId="96"/>
    <cellStyle name="Comma 4" xfId="97"/>
    <cellStyle name="Comma 5" xfId="98"/>
    <cellStyle name="Comma 6" xfId="99"/>
    <cellStyle name="Comma 7" xfId="100"/>
    <cellStyle name="Comma 8" xfId="90"/>
    <cellStyle name="Currency 2" xfId="101"/>
    <cellStyle name="Description" xfId="102"/>
    <cellStyle name="Euro" xfId="103"/>
    <cellStyle name="Explanatory Text" xfId="28" builtinId="53" customBuiltin="1"/>
    <cellStyle name="Explanatory Text 2" xfId="104"/>
    <cellStyle name="Flash" xfId="105"/>
    <cellStyle name="footnote ref" xfId="106"/>
    <cellStyle name="footnote text" xfId="107"/>
    <cellStyle name="General" xfId="108"/>
    <cellStyle name="General 2" xfId="109"/>
    <cellStyle name="Good" xfId="29" builtinId="26" customBuiltin="1"/>
    <cellStyle name="Good 2" xfId="110"/>
    <cellStyle name="Grey" xfId="111"/>
    <cellStyle name="HeaderLabel" xfId="112"/>
    <cellStyle name="HeaderText" xfId="113"/>
    <cellStyle name="Heading 1" xfId="30" builtinId="16" customBuiltin="1"/>
    <cellStyle name="Heading 1 2" xfId="114"/>
    <cellStyle name="Heading 1 2 2" xfId="115"/>
    <cellStyle name="Heading 1 2_asset sales" xfId="116"/>
    <cellStyle name="Heading 1 3" xfId="117"/>
    <cellStyle name="Heading 1 4" xfId="118"/>
    <cellStyle name="Heading 2" xfId="31" builtinId="17" customBuiltin="1"/>
    <cellStyle name="Heading 2 2" xfId="119"/>
    <cellStyle name="Heading 2 3" xfId="120"/>
    <cellStyle name="Heading 3" xfId="32" builtinId="18" customBuiltin="1"/>
    <cellStyle name="Heading 3 2" xfId="121"/>
    <cellStyle name="Heading 3 3" xfId="122"/>
    <cellStyle name="Heading 4" xfId="33" builtinId="19" customBuiltin="1"/>
    <cellStyle name="Heading 4 2" xfId="123"/>
    <cellStyle name="Heading 4 3" xfId="124"/>
    <cellStyle name="Heading 5" xfId="125"/>
    <cellStyle name="Heading 6" xfId="126"/>
    <cellStyle name="Heading 7" xfId="127"/>
    <cellStyle name="Heading 8" xfId="128"/>
    <cellStyle name="Hyperlink" xfId="34" builtinId="8"/>
    <cellStyle name="Hyperlink 2" xfId="129"/>
    <cellStyle name="Hyperlink 2 2" xfId="130"/>
    <cellStyle name="Hyperlink 3" xfId="131"/>
    <cellStyle name="Hyperlink 4" xfId="132"/>
    <cellStyle name="Information" xfId="133"/>
    <cellStyle name="Input" xfId="35" builtinId="20" customBuiltin="1"/>
    <cellStyle name="Input [yellow]" xfId="134"/>
    <cellStyle name="Input 10" xfId="135"/>
    <cellStyle name="Input 11" xfId="136"/>
    <cellStyle name="Input 12" xfId="137"/>
    <cellStyle name="Input 13" xfId="138"/>
    <cellStyle name="Input 14" xfId="139"/>
    <cellStyle name="Input 15" xfId="140"/>
    <cellStyle name="Input 16" xfId="141"/>
    <cellStyle name="Input 17" xfId="142"/>
    <cellStyle name="Input 18" xfId="143"/>
    <cellStyle name="Input 19" xfId="144"/>
    <cellStyle name="Input 2" xfId="145"/>
    <cellStyle name="Input 3" xfId="146"/>
    <cellStyle name="Input 4" xfId="147"/>
    <cellStyle name="Input 5" xfId="148"/>
    <cellStyle name="Input 6" xfId="149"/>
    <cellStyle name="Input 7" xfId="150"/>
    <cellStyle name="Input 8" xfId="151"/>
    <cellStyle name="Input 9" xfId="152"/>
    <cellStyle name="LabelIntersect" xfId="153"/>
    <cellStyle name="LabelLeft" xfId="154"/>
    <cellStyle name="LabelTop" xfId="155"/>
    <cellStyle name="Linked Cell" xfId="36" builtinId="24" customBuiltin="1"/>
    <cellStyle name="Linked Cell 2" xfId="156"/>
    <cellStyle name="Mik" xfId="157"/>
    <cellStyle name="Mik 2" xfId="158"/>
    <cellStyle name="Mik_For fiscal tables" xfId="159"/>
    <cellStyle name="N" xfId="160"/>
    <cellStyle name="N 2" xfId="161"/>
    <cellStyle name="Neutral" xfId="37" builtinId="28" customBuiltin="1"/>
    <cellStyle name="Neutral 2" xfId="162"/>
    <cellStyle name="Normal" xfId="0" builtinId="0"/>
    <cellStyle name="Normal - Style1" xfId="163"/>
    <cellStyle name="Normal - Style2" xfId="164"/>
    <cellStyle name="Normal - Style3" xfId="165"/>
    <cellStyle name="Normal - Style4" xfId="166"/>
    <cellStyle name="Normal - Style5" xfId="167"/>
    <cellStyle name="Normal 10" xfId="168"/>
    <cellStyle name="Normal 10 2" xfId="169"/>
    <cellStyle name="Normal 11" xfId="170"/>
    <cellStyle name="Normal 11 10" xfId="171"/>
    <cellStyle name="Normal 11 10 2" xfId="172"/>
    <cellStyle name="Normal 11 10 3" xfId="173"/>
    <cellStyle name="Normal 11 11" xfId="174"/>
    <cellStyle name="Normal 11 2" xfId="175"/>
    <cellStyle name="Normal 11 3" xfId="176"/>
    <cellStyle name="Normal 11 4" xfId="177"/>
    <cellStyle name="Normal 11 5" xfId="178"/>
    <cellStyle name="Normal 11 6" xfId="179"/>
    <cellStyle name="Normal 11 7" xfId="180"/>
    <cellStyle name="Normal 11 8" xfId="181"/>
    <cellStyle name="Normal 11 9" xfId="182"/>
    <cellStyle name="Normal 12" xfId="183"/>
    <cellStyle name="Normal 12 2" xfId="184"/>
    <cellStyle name="Normal 13" xfId="185"/>
    <cellStyle name="Normal 13 2" xfId="186"/>
    <cellStyle name="Normal 14" xfId="187"/>
    <cellStyle name="Normal 14 2" xfId="188"/>
    <cellStyle name="Normal 15" xfId="189"/>
    <cellStyle name="Normal 15 2" xfId="190"/>
    <cellStyle name="Normal 16" xfId="191"/>
    <cellStyle name="Normal 16 2" xfId="192"/>
    <cellStyle name="Normal 16 3" xfId="193"/>
    <cellStyle name="Normal 17" xfId="194"/>
    <cellStyle name="Normal 17 2" xfId="195"/>
    <cellStyle name="Normal 18" xfId="196"/>
    <cellStyle name="Normal 18 2" xfId="197"/>
    <cellStyle name="Normal 18 3" xfId="198"/>
    <cellStyle name="Normal 19" xfId="199"/>
    <cellStyle name="Normal 19 2" xfId="200"/>
    <cellStyle name="Normal 19 3" xfId="201"/>
    <cellStyle name="Normal 2" xfId="38"/>
    <cellStyle name="Normal 2 2" xfId="203"/>
    <cellStyle name="Normal 2 2 2" xfId="204"/>
    <cellStyle name="Normal 2 3" xfId="205"/>
    <cellStyle name="Normal 2 4" xfId="202"/>
    <cellStyle name="Normal 20" xfId="206"/>
    <cellStyle name="Normal 20 2" xfId="207"/>
    <cellStyle name="Normal 21" xfId="208"/>
    <cellStyle name="Normal 21 2" xfId="209"/>
    <cellStyle name="Normal 21 3" xfId="210"/>
    <cellStyle name="Normal 21_Copy of Fiscal Tables" xfId="211"/>
    <cellStyle name="Normal 22" xfId="212"/>
    <cellStyle name="Normal 22 2" xfId="213"/>
    <cellStyle name="Normal 22 3" xfId="214"/>
    <cellStyle name="Normal 22_Copy of Fiscal Tables" xfId="215"/>
    <cellStyle name="Normal 23" xfId="216"/>
    <cellStyle name="Normal 23 2" xfId="217"/>
    <cellStyle name="Normal 24" xfId="218"/>
    <cellStyle name="Normal 24 2" xfId="219"/>
    <cellStyle name="Normal 25" xfId="220"/>
    <cellStyle name="Normal 25 2" xfId="221"/>
    <cellStyle name="Normal 26" xfId="222"/>
    <cellStyle name="Normal 26 2" xfId="223"/>
    <cellStyle name="Normal 27" xfId="224"/>
    <cellStyle name="Normal 27 2" xfId="225"/>
    <cellStyle name="Normal 28" xfId="226"/>
    <cellStyle name="Normal 28 2" xfId="227"/>
    <cellStyle name="Normal 29" xfId="228"/>
    <cellStyle name="Normal 3" xfId="39"/>
    <cellStyle name="Normal 3 10" xfId="230"/>
    <cellStyle name="Normal 3 11" xfId="231"/>
    <cellStyle name="Normal 3 12" xfId="232"/>
    <cellStyle name="Normal 3 13" xfId="229"/>
    <cellStyle name="Normal 3 2" xfId="233"/>
    <cellStyle name="Normal 3 2 2" xfId="234"/>
    <cellStyle name="Normal 3 3" xfId="235"/>
    <cellStyle name="Normal 3 4" xfId="236"/>
    <cellStyle name="Normal 3 5" xfId="237"/>
    <cellStyle name="Normal 3 6" xfId="238"/>
    <cellStyle name="Normal 3 7" xfId="239"/>
    <cellStyle name="Normal 3 8" xfId="240"/>
    <cellStyle name="Normal 3 9" xfId="241"/>
    <cellStyle name="Normal 3_asset sales" xfId="242"/>
    <cellStyle name="Normal 30" xfId="243"/>
    <cellStyle name="Normal 31" xfId="244"/>
    <cellStyle name="Normal 32" xfId="245"/>
    <cellStyle name="Normal 33" xfId="246"/>
    <cellStyle name="Normal 34" xfId="247"/>
    <cellStyle name="Normal 35" xfId="248"/>
    <cellStyle name="Normal 36" xfId="249"/>
    <cellStyle name="Normal 37" xfId="250"/>
    <cellStyle name="Normal 38" xfId="251"/>
    <cellStyle name="Normal 39" xfId="252"/>
    <cellStyle name="Normal 4" xfId="40"/>
    <cellStyle name="Normal 4 2" xfId="254"/>
    <cellStyle name="Normal 4 3" xfId="255"/>
    <cellStyle name="Normal 4 4" xfId="253"/>
    <cellStyle name="Normal 40" xfId="256"/>
    <cellStyle name="Normal 41" xfId="257"/>
    <cellStyle name="Normal 42" xfId="258"/>
    <cellStyle name="Normal 43" xfId="259"/>
    <cellStyle name="Normal 44" xfId="260"/>
    <cellStyle name="Normal 45" xfId="261"/>
    <cellStyle name="Normal 46" xfId="262"/>
    <cellStyle name="Normal 47" xfId="263"/>
    <cellStyle name="Normal 48" xfId="264"/>
    <cellStyle name="Normal 49" xfId="265"/>
    <cellStyle name="Normal 5" xfId="266"/>
    <cellStyle name="Normal 5 2" xfId="267"/>
    <cellStyle name="Normal 5 3" xfId="268"/>
    <cellStyle name="Normal 50" xfId="269"/>
    <cellStyle name="Normal 51" xfId="270"/>
    <cellStyle name="Normal 52" xfId="271"/>
    <cellStyle name="Normal 6" xfId="272"/>
    <cellStyle name="Normal 6 2" xfId="273"/>
    <cellStyle name="Normal 7" xfId="274"/>
    <cellStyle name="Normal 7 2" xfId="275"/>
    <cellStyle name="Normal 8" xfId="276"/>
    <cellStyle name="Normal 8 2" xfId="277"/>
    <cellStyle name="Normal 9" xfId="278"/>
    <cellStyle name="Normal 9 2" xfId="279"/>
    <cellStyle name="Note" xfId="41" builtinId="10" customBuiltin="1"/>
    <cellStyle name="Note 2" xfId="280"/>
    <cellStyle name="Note 2 2" xfId="281"/>
    <cellStyle name="Output" xfId="42" builtinId="21" customBuiltin="1"/>
    <cellStyle name="Output 2" xfId="282"/>
    <cellStyle name="Output Amounts" xfId="283"/>
    <cellStyle name="Output Column Headings" xfId="284"/>
    <cellStyle name="Output Line Items" xfId="285"/>
    <cellStyle name="Output Report Heading" xfId="286"/>
    <cellStyle name="Output Report Title" xfId="287"/>
    <cellStyle name="P" xfId="288"/>
    <cellStyle name="P 2" xfId="289"/>
    <cellStyle name="Percent" xfId="43" builtinId="5"/>
    <cellStyle name="Percent [2]" xfId="290"/>
    <cellStyle name="Percent 2" xfId="291"/>
    <cellStyle name="Percent 3" xfId="292"/>
    <cellStyle name="Percent 3 2" xfId="293"/>
    <cellStyle name="Percent 4" xfId="294"/>
    <cellStyle name="Percent 4 2" xfId="295"/>
    <cellStyle name="Percent 5" xfId="296"/>
    <cellStyle name="Percent 6" xfId="297"/>
    <cellStyle name="Percent 7" xfId="298"/>
    <cellStyle name="Percent 8" xfId="299"/>
    <cellStyle name="Refdb standard" xfId="300"/>
    <cellStyle name="ReportData" xfId="301"/>
    <cellStyle name="ReportElements" xfId="302"/>
    <cellStyle name="ReportHeader" xfId="303"/>
    <cellStyle name="SAPBEXaggData" xfId="304"/>
    <cellStyle name="SAPBEXaggDataEmph" xfId="305"/>
    <cellStyle name="SAPBEXaggItem" xfId="306"/>
    <cellStyle name="SAPBEXaggItemX" xfId="307"/>
    <cellStyle name="SAPBEXchaText" xfId="308"/>
    <cellStyle name="SAPBEXexcBad7" xfId="309"/>
    <cellStyle name="SAPBEXexcBad8" xfId="310"/>
    <cellStyle name="SAPBEXexcBad9" xfId="311"/>
    <cellStyle name="SAPBEXexcCritical4" xfId="312"/>
    <cellStyle name="SAPBEXexcCritical5" xfId="313"/>
    <cellStyle name="SAPBEXexcCritical6" xfId="314"/>
    <cellStyle name="SAPBEXexcGood1" xfId="315"/>
    <cellStyle name="SAPBEXexcGood2" xfId="316"/>
    <cellStyle name="SAPBEXexcGood3" xfId="317"/>
    <cellStyle name="SAPBEXfilterDrill" xfId="318"/>
    <cellStyle name="SAPBEXfilterItem" xfId="319"/>
    <cellStyle name="SAPBEXfilterText" xfId="320"/>
    <cellStyle name="SAPBEXformats" xfId="321"/>
    <cellStyle name="SAPBEXheaderItem" xfId="322"/>
    <cellStyle name="SAPBEXheaderText" xfId="323"/>
    <cellStyle name="SAPBEXHLevel0" xfId="324"/>
    <cellStyle name="SAPBEXHLevel0X" xfId="325"/>
    <cellStyle name="SAPBEXHLevel1" xfId="326"/>
    <cellStyle name="SAPBEXHLevel1X" xfId="327"/>
    <cellStyle name="SAPBEXHLevel2" xfId="328"/>
    <cellStyle name="SAPBEXHLevel2X" xfId="329"/>
    <cellStyle name="SAPBEXHLevel3" xfId="330"/>
    <cellStyle name="SAPBEXHLevel3X" xfId="331"/>
    <cellStyle name="SAPBEXresData" xfId="332"/>
    <cellStyle name="SAPBEXresDataEmph" xfId="333"/>
    <cellStyle name="SAPBEXresItem" xfId="334"/>
    <cellStyle name="SAPBEXresItemX" xfId="335"/>
    <cellStyle name="SAPBEXstdData" xfId="336"/>
    <cellStyle name="SAPBEXstdDataEmph" xfId="337"/>
    <cellStyle name="SAPBEXstdItem" xfId="338"/>
    <cellStyle name="SAPBEXstdItemX" xfId="339"/>
    <cellStyle name="SAPBEXtitle" xfId="340"/>
    <cellStyle name="SAPBEXundefined" xfId="341"/>
    <cellStyle name="Style 1" xfId="44"/>
    <cellStyle name="Style 1 2" xfId="342"/>
    <cellStyle name="Style1" xfId="343"/>
    <cellStyle name="Style2" xfId="344"/>
    <cellStyle name="Style3" xfId="345"/>
    <cellStyle name="Style4" xfId="346"/>
    <cellStyle name="Style5" xfId="347"/>
    <cellStyle name="Style6" xfId="348"/>
    <cellStyle name="Table Footnote" xfId="349"/>
    <cellStyle name="Table Footnote 2" xfId="350"/>
    <cellStyle name="Table Footnote 2 2" xfId="351"/>
    <cellStyle name="Table Footnote_Table 5.6 sales of assets 23Feb2010" xfId="352"/>
    <cellStyle name="Table Header" xfId="353"/>
    <cellStyle name="Table Header 2" xfId="354"/>
    <cellStyle name="Table Header 2 2" xfId="355"/>
    <cellStyle name="Table Header_Table 5.6 sales of assets 23Feb2010" xfId="356"/>
    <cellStyle name="Table Heading 1" xfId="357"/>
    <cellStyle name="Table Heading 1 2" xfId="358"/>
    <cellStyle name="Table Heading 1 2 2" xfId="359"/>
    <cellStyle name="Table Heading 1_Table 5.6 sales of assets 23Feb2010" xfId="360"/>
    <cellStyle name="Table Heading 2" xfId="361"/>
    <cellStyle name="Table Heading 2 2" xfId="362"/>
    <cellStyle name="Table Heading 2_Table 5.6 sales of assets 23Feb2010" xfId="363"/>
    <cellStyle name="Table Of Which" xfId="364"/>
    <cellStyle name="Table Of Which 2" xfId="365"/>
    <cellStyle name="Table Of Which_Table 5.6 sales of assets 23Feb2010" xfId="366"/>
    <cellStyle name="Table Row Billions" xfId="367"/>
    <cellStyle name="Table Row Billions 2" xfId="368"/>
    <cellStyle name="Table Row Billions Check" xfId="369"/>
    <cellStyle name="Table Row Billions Check 2" xfId="370"/>
    <cellStyle name="Table Row Billions Check 3" xfId="371"/>
    <cellStyle name="Table Row Billions Check_asset sales" xfId="372"/>
    <cellStyle name="Table Row Billions_Table 5.6 sales of assets 23Feb2010" xfId="373"/>
    <cellStyle name="Table Row Millions" xfId="374"/>
    <cellStyle name="Table Row Millions 2" xfId="375"/>
    <cellStyle name="Table Row Millions 2 2" xfId="376"/>
    <cellStyle name="Table Row Millions Check" xfId="377"/>
    <cellStyle name="Table Row Millions Check 2" xfId="378"/>
    <cellStyle name="Table Row Millions Check 3" xfId="379"/>
    <cellStyle name="Table Row Millions Check 4" xfId="380"/>
    <cellStyle name="Table Row Millions Check_asset sales" xfId="381"/>
    <cellStyle name="Table Row Millions_Table 5.6 sales of assets 23Feb2010" xfId="382"/>
    <cellStyle name="Table Row Percentage" xfId="383"/>
    <cellStyle name="Table Row Percentage 2" xfId="384"/>
    <cellStyle name="Table Row Percentage Check" xfId="385"/>
    <cellStyle name="Table Row Percentage Check 2" xfId="386"/>
    <cellStyle name="Table Row Percentage Check 3" xfId="387"/>
    <cellStyle name="Table Row Percentage Check_asset sales" xfId="388"/>
    <cellStyle name="Table Row Percentage_Table 5.6 sales of assets 23Feb2010" xfId="389"/>
    <cellStyle name="Table Total Billions" xfId="390"/>
    <cellStyle name="Table Total Billions 2" xfId="391"/>
    <cellStyle name="Table Total Billions_Table 5.6 sales of assets 23Feb2010" xfId="392"/>
    <cellStyle name="Table Total Millions" xfId="393"/>
    <cellStyle name="Table Total Millions 2" xfId="394"/>
    <cellStyle name="Table Total Millions 2 2" xfId="395"/>
    <cellStyle name="Table Total Millions_Table 5.6 sales of assets 23Feb2010" xfId="396"/>
    <cellStyle name="Table Total Percentage" xfId="397"/>
    <cellStyle name="Table Total Percentage 2" xfId="398"/>
    <cellStyle name="Table Total Percentage_Table 5.6 sales of assets 23Feb2010" xfId="399"/>
    <cellStyle name="Table Units" xfId="400"/>
    <cellStyle name="Table Units 2" xfId="401"/>
    <cellStyle name="Table Units 2 2" xfId="402"/>
    <cellStyle name="Table Units_Table 5.6 sales of assets 23Feb2010" xfId="403"/>
    <cellStyle name="Times New Roman" xfId="404"/>
    <cellStyle name="Title" xfId="45" builtinId="15" customBuiltin="1"/>
    <cellStyle name="Title 2" xfId="405"/>
    <cellStyle name="Title 3" xfId="406"/>
    <cellStyle name="Title 4" xfId="407"/>
    <cellStyle name="Total" xfId="46" builtinId="25" customBuiltin="1"/>
    <cellStyle name="Total 2" xfId="408"/>
    <cellStyle name="Warning Text" xfId="47" builtinId="11" customBuiltin="1"/>
    <cellStyle name="Warning Text 2" xfId="409"/>
    <cellStyle name="whole number" xfId="410"/>
  </cellStyles>
  <dxfs count="0"/>
  <tableStyles count="0" defaultTableStyle="TableStyleMedium2" defaultPivotStyle="PivotStyleLight16"/>
  <colors>
    <mruColors>
      <color rgb="FF002060"/>
      <color rgb="FF4881BD"/>
      <color rgb="FF4F81BD"/>
      <color rgb="FF9B9B9B"/>
      <color rgb="FF008080"/>
      <color rgb="FF81C9BB"/>
      <color rgb="FF646464"/>
      <color rgb="FFC4E6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3"/>
          <c:order val="0"/>
          <c:tx>
            <c:strRef>
              <c:f>'Table A1'!$A$5</c:f>
              <c:strCache>
                <c:ptCount val="1"/>
                <c:pt idx="0">
                  <c:v>Total Support</c:v>
                </c:pt>
              </c:strCache>
            </c:strRef>
          </c:tx>
          <c:spPr>
            <a:ln>
              <a:solidFill>
                <a:srgbClr val="002060"/>
              </a:solidFill>
            </a:ln>
          </c:spPr>
          <c:marker>
            <c:symbol val="square"/>
            <c:size val="5"/>
            <c:spPr>
              <a:solidFill>
                <a:srgbClr val="002060"/>
              </a:solidFill>
              <a:ln>
                <a:solidFill>
                  <a:srgbClr val="002060"/>
                </a:solidFill>
              </a:ln>
            </c:spPr>
          </c:marker>
          <c:cat>
            <c:strRef>
              <c:f>'Table A1'!$B$4:$M$4</c:f>
              <c:strCache>
                <c:ptCount val="10"/>
                <c:pt idx="0">
                  <c:v>2008-09</c:v>
                </c:pt>
                <c:pt idx="1">
                  <c:v>2009-10</c:v>
                </c:pt>
                <c:pt idx="2">
                  <c:v>2010-11</c:v>
                </c:pt>
                <c:pt idx="3">
                  <c:v>2011-12</c:v>
                </c:pt>
                <c:pt idx="4">
                  <c:v>2012-13</c:v>
                </c:pt>
                <c:pt idx="5">
                  <c:v>2013-14</c:v>
                </c:pt>
                <c:pt idx="6">
                  <c:v>2014-15</c:v>
                </c:pt>
                <c:pt idx="7">
                  <c:v>2015-16</c:v>
                </c:pt>
                <c:pt idx="8">
                  <c:v>2016-17</c:v>
                </c:pt>
                <c:pt idx="9">
                  <c:v>2017-18</c:v>
                </c:pt>
              </c:strCache>
            </c:strRef>
          </c:cat>
          <c:val>
            <c:numRef>
              <c:f>'Table A1'!$C$6:$M$6</c:f>
              <c:numCache>
                <c:formatCode>#,##0</c:formatCode>
                <c:ptCount val="10"/>
                <c:pt idx="0">
                  <c:v>124845</c:v>
                </c:pt>
                <c:pt idx="1">
                  <c:v>130680</c:v>
                </c:pt>
                <c:pt idx="2">
                  <c:v>133175</c:v>
                </c:pt>
                <c:pt idx="3">
                  <c:v>133990</c:v>
                </c:pt>
                <c:pt idx="4">
                  <c:v>135375</c:v>
                </c:pt>
                <c:pt idx="5">
                  <c:v>137270</c:v>
                </c:pt>
                <c:pt idx="6">
                  <c:v>139370</c:v>
                </c:pt>
                <c:pt idx="7">
                  <c:v>141235</c:v>
                </c:pt>
                <c:pt idx="8">
                  <c:v>143500</c:v>
                </c:pt>
                <c:pt idx="9">
                  <c:v>147920</c:v>
                </c:pt>
              </c:numCache>
            </c:numRef>
          </c:val>
          <c:smooth val="0"/>
          <c:extLst xmlns:c16r2="http://schemas.microsoft.com/office/drawing/2015/06/chart">
            <c:ext xmlns:c16="http://schemas.microsoft.com/office/drawing/2014/chart" uri="{C3380CC4-5D6E-409C-BE32-E72D297353CC}">
              <c16:uniqueId val="{00000000-7A34-48B9-8009-34D7BA63DD6E}"/>
            </c:ext>
          </c:extLst>
        </c:ser>
        <c:ser>
          <c:idx val="0"/>
          <c:order val="1"/>
          <c:tx>
            <c:strRef>
              <c:f>'Table A1'!$A$15</c:f>
              <c:strCache>
                <c:ptCount val="1"/>
                <c:pt idx="0">
                  <c:v>Bursaries and grants</c:v>
                </c:pt>
              </c:strCache>
            </c:strRef>
          </c:tx>
          <c:marker>
            <c:symbol val="circle"/>
            <c:size val="5"/>
          </c:marker>
          <c:dPt>
            <c:idx val="6"/>
            <c:marker>
              <c:spPr>
                <a:solidFill>
                  <a:srgbClr val="4F81BD"/>
                </a:solidFill>
                <a:ln>
                  <a:solidFill>
                    <a:srgbClr val="4F81BD"/>
                  </a:solidFill>
                </a:ln>
              </c:spPr>
            </c:marker>
            <c:bubble3D val="0"/>
            <c:spPr>
              <a:ln>
                <a:solidFill>
                  <a:srgbClr val="4F81BD"/>
                </a:solidFill>
              </a:ln>
            </c:spPr>
            <c:extLst xmlns:c16r2="http://schemas.microsoft.com/office/drawing/2015/06/chart">
              <c:ext xmlns:c16="http://schemas.microsoft.com/office/drawing/2014/chart" uri="{C3380CC4-5D6E-409C-BE32-E72D297353CC}">
                <c16:uniqueId val="{00000002-7A34-48B9-8009-34D7BA63DD6E}"/>
              </c:ext>
            </c:extLst>
          </c:dPt>
          <c:cat>
            <c:strRef>
              <c:f>'Table A1'!$B$4:$M$4</c:f>
              <c:strCache>
                <c:ptCount val="10"/>
                <c:pt idx="0">
                  <c:v>2008-09</c:v>
                </c:pt>
                <c:pt idx="1">
                  <c:v>2009-10</c:v>
                </c:pt>
                <c:pt idx="2">
                  <c:v>2010-11</c:v>
                </c:pt>
                <c:pt idx="3">
                  <c:v>2011-12</c:v>
                </c:pt>
                <c:pt idx="4">
                  <c:v>2012-13</c:v>
                </c:pt>
                <c:pt idx="5">
                  <c:v>2013-14</c:v>
                </c:pt>
                <c:pt idx="6">
                  <c:v>2014-15</c:v>
                </c:pt>
                <c:pt idx="7">
                  <c:v>2015-16</c:v>
                </c:pt>
                <c:pt idx="8">
                  <c:v>2016-17</c:v>
                </c:pt>
                <c:pt idx="9">
                  <c:v>2017-18</c:v>
                </c:pt>
              </c:strCache>
            </c:strRef>
          </c:cat>
          <c:val>
            <c:numRef>
              <c:f>'Table A1'!$B$16:$M$16</c:f>
              <c:numCache>
                <c:formatCode>#,##0</c:formatCode>
                <c:ptCount val="10"/>
                <c:pt idx="0">
                  <c:v>57590</c:v>
                </c:pt>
                <c:pt idx="1">
                  <c:v>60870</c:v>
                </c:pt>
                <c:pt idx="2">
                  <c:v>68960</c:v>
                </c:pt>
                <c:pt idx="3">
                  <c:v>55685</c:v>
                </c:pt>
                <c:pt idx="4">
                  <c:v>54130</c:v>
                </c:pt>
                <c:pt idx="5">
                  <c:v>53435</c:v>
                </c:pt>
                <c:pt idx="6">
                  <c:v>52315</c:v>
                </c:pt>
                <c:pt idx="7">
                  <c:v>49815</c:v>
                </c:pt>
                <c:pt idx="8">
                  <c:v>52165</c:v>
                </c:pt>
                <c:pt idx="9">
                  <c:v>53620</c:v>
                </c:pt>
              </c:numCache>
            </c:numRef>
          </c:val>
          <c:smooth val="0"/>
          <c:extLst xmlns:c16r2="http://schemas.microsoft.com/office/drawing/2015/06/chart">
            <c:ext xmlns:c16="http://schemas.microsoft.com/office/drawing/2014/chart" uri="{C3380CC4-5D6E-409C-BE32-E72D297353CC}">
              <c16:uniqueId val="{00000003-7A34-48B9-8009-34D7BA63DD6E}"/>
            </c:ext>
          </c:extLst>
        </c:ser>
        <c:ser>
          <c:idx val="1"/>
          <c:order val="2"/>
          <c:tx>
            <c:strRef>
              <c:f>'Table A1'!$A$20</c:f>
              <c:strCache>
                <c:ptCount val="1"/>
                <c:pt idx="0">
                  <c:v>Fees and Fee Loans</c:v>
                </c:pt>
              </c:strCache>
            </c:strRef>
          </c:tx>
          <c:spPr>
            <a:ln>
              <a:solidFill>
                <a:srgbClr val="008080"/>
              </a:solidFill>
            </a:ln>
          </c:spPr>
          <c:marker>
            <c:symbol val="triangle"/>
            <c:size val="5"/>
            <c:spPr>
              <a:solidFill>
                <a:srgbClr val="008080"/>
              </a:solidFill>
              <a:ln>
                <a:solidFill>
                  <a:srgbClr val="008080"/>
                </a:solidFill>
              </a:ln>
            </c:spPr>
          </c:marker>
          <c:cat>
            <c:strRef>
              <c:f>'Table A1'!$B$4:$M$4</c:f>
              <c:strCache>
                <c:ptCount val="10"/>
                <c:pt idx="0">
                  <c:v>2008-09</c:v>
                </c:pt>
                <c:pt idx="1">
                  <c:v>2009-10</c:v>
                </c:pt>
                <c:pt idx="2">
                  <c:v>2010-11</c:v>
                </c:pt>
                <c:pt idx="3">
                  <c:v>2011-12</c:v>
                </c:pt>
                <c:pt idx="4">
                  <c:v>2012-13</c:v>
                </c:pt>
                <c:pt idx="5">
                  <c:v>2013-14</c:v>
                </c:pt>
                <c:pt idx="6">
                  <c:v>2014-15</c:v>
                </c:pt>
                <c:pt idx="7">
                  <c:v>2015-16</c:v>
                </c:pt>
                <c:pt idx="8">
                  <c:v>2016-17</c:v>
                </c:pt>
                <c:pt idx="9">
                  <c:v>2017-18</c:v>
                </c:pt>
              </c:strCache>
            </c:strRef>
          </c:cat>
          <c:val>
            <c:numRef>
              <c:f>'Table A1'!$B$21:$M$21</c:f>
              <c:numCache>
                <c:formatCode>#,##0</c:formatCode>
                <c:ptCount val="10"/>
                <c:pt idx="0">
                  <c:v>118055</c:v>
                </c:pt>
                <c:pt idx="1">
                  <c:v>124340</c:v>
                </c:pt>
                <c:pt idx="2">
                  <c:v>126630</c:v>
                </c:pt>
                <c:pt idx="3">
                  <c:v>125790</c:v>
                </c:pt>
                <c:pt idx="4">
                  <c:v>127090</c:v>
                </c:pt>
                <c:pt idx="5">
                  <c:v>130990</c:v>
                </c:pt>
                <c:pt idx="6">
                  <c:v>133460</c:v>
                </c:pt>
                <c:pt idx="7">
                  <c:v>134760</c:v>
                </c:pt>
                <c:pt idx="8">
                  <c:v>136385</c:v>
                </c:pt>
                <c:pt idx="9">
                  <c:v>140240</c:v>
                </c:pt>
              </c:numCache>
            </c:numRef>
          </c:val>
          <c:smooth val="0"/>
          <c:extLst xmlns:c16r2="http://schemas.microsoft.com/office/drawing/2015/06/chart">
            <c:ext xmlns:c16="http://schemas.microsoft.com/office/drawing/2014/chart" uri="{C3380CC4-5D6E-409C-BE32-E72D297353CC}">
              <c16:uniqueId val="{00000004-7A34-48B9-8009-34D7BA63DD6E}"/>
            </c:ext>
          </c:extLst>
        </c:ser>
        <c:ser>
          <c:idx val="2"/>
          <c:order val="3"/>
          <c:tx>
            <c:strRef>
              <c:f>'Table A1'!$A$25</c:f>
              <c:strCache>
                <c:ptCount val="1"/>
                <c:pt idx="0">
                  <c:v>Loans</c:v>
                </c:pt>
              </c:strCache>
            </c:strRef>
          </c:tx>
          <c:spPr>
            <a:ln>
              <a:solidFill>
                <a:srgbClr val="81C9BB"/>
              </a:solidFill>
            </a:ln>
          </c:spPr>
          <c:marker>
            <c:symbol val="diamond"/>
            <c:size val="5"/>
            <c:spPr>
              <a:solidFill>
                <a:srgbClr val="81C9BB"/>
              </a:solidFill>
              <a:ln>
                <a:solidFill>
                  <a:srgbClr val="81C9BB"/>
                </a:solidFill>
              </a:ln>
            </c:spPr>
          </c:marker>
          <c:cat>
            <c:strRef>
              <c:f>'Table A1'!$B$4:$M$4</c:f>
              <c:strCache>
                <c:ptCount val="10"/>
                <c:pt idx="0">
                  <c:v>2008-09</c:v>
                </c:pt>
                <c:pt idx="1">
                  <c:v>2009-10</c:v>
                </c:pt>
                <c:pt idx="2">
                  <c:v>2010-11</c:v>
                </c:pt>
                <c:pt idx="3">
                  <c:v>2011-12</c:v>
                </c:pt>
                <c:pt idx="4">
                  <c:v>2012-13</c:v>
                </c:pt>
                <c:pt idx="5">
                  <c:v>2013-14</c:v>
                </c:pt>
                <c:pt idx="6">
                  <c:v>2014-15</c:v>
                </c:pt>
                <c:pt idx="7">
                  <c:v>2015-16</c:v>
                </c:pt>
                <c:pt idx="8">
                  <c:v>2016-17</c:v>
                </c:pt>
                <c:pt idx="9">
                  <c:v>2017-18</c:v>
                </c:pt>
              </c:strCache>
            </c:strRef>
          </c:cat>
          <c:val>
            <c:numRef>
              <c:f>'Table A1'!$B$26:$M$26</c:f>
              <c:numCache>
                <c:formatCode>#,##0</c:formatCode>
                <c:ptCount val="10"/>
                <c:pt idx="0">
                  <c:v>77170</c:v>
                </c:pt>
                <c:pt idx="1">
                  <c:v>79075</c:v>
                </c:pt>
                <c:pt idx="2">
                  <c:v>79395</c:v>
                </c:pt>
                <c:pt idx="3">
                  <c:v>80875</c:v>
                </c:pt>
                <c:pt idx="4">
                  <c:v>81640</c:v>
                </c:pt>
                <c:pt idx="5">
                  <c:v>85655</c:v>
                </c:pt>
                <c:pt idx="6">
                  <c:v>88985</c:v>
                </c:pt>
                <c:pt idx="7">
                  <c:v>93530</c:v>
                </c:pt>
                <c:pt idx="8">
                  <c:v>97550</c:v>
                </c:pt>
                <c:pt idx="9">
                  <c:v>99895</c:v>
                </c:pt>
              </c:numCache>
            </c:numRef>
          </c:val>
          <c:smooth val="0"/>
          <c:extLst xmlns:c16r2="http://schemas.microsoft.com/office/drawing/2015/06/chart">
            <c:ext xmlns:c16="http://schemas.microsoft.com/office/drawing/2014/chart" uri="{C3380CC4-5D6E-409C-BE32-E72D297353CC}">
              <c16:uniqueId val="{00000005-7A34-48B9-8009-34D7BA63DD6E}"/>
            </c:ext>
          </c:extLst>
        </c:ser>
        <c:dLbls>
          <c:showLegendKey val="0"/>
          <c:showVal val="0"/>
          <c:showCatName val="0"/>
          <c:showSerName val="0"/>
          <c:showPercent val="0"/>
          <c:showBubbleSize val="0"/>
        </c:dLbls>
        <c:marker val="1"/>
        <c:smooth val="0"/>
        <c:axId val="169552512"/>
        <c:axId val="169562880"/>
      </c:lineChart>
      <c:catAx>
        <c:axId val="169552512"/>
        <c:scaling>
          <c:orientation val="minMax"/>
        </c:scaling>
        <c:delete val="0"/>
        <c:axPos val="b"/>
        <c:numFmt formatCode="General" sourceLinked="1"/>
        <c:majorTickMark val="out"/>
        <c:minorTickMark val="none"/>
        <c:tickLblPos val="nextTo"/>
        <c:txPr>
          <a:bodyPr/>
          <a:lstStyle/>
          <a:p>
            <a:pPr>
              <a:defRPr sz="1200"/>
            </a:pPr>
            <a:endParaRPr lang="en-US"/>
          </a:p>
        </c:txPr>
        <c:crossAx val="169562880"/>
        <c:crosses val="autoZero"/>
        <c:auto val="1"/>
        <c:lblAlgn val="ctr"/>
        <c:lblOffset val="100"/>
        <c:noMultiLvlLbl val="0"/>
      </c:catAx>
      <c:valAx>
        <c:axId val="169562880"/>
        <c:scaling>
          <c:orientation val="minMax"/>
        </c:scaling>
        <c:delete val="0"/>
        <c:axPos val="l"/>
        <c:majorGridlines>
          <c:spPr>
            <a:ln>
              <a:solidFill>
                <a:schemeClr val="bg1">
                  <a:lumMod val="85000"/>
                </a:schemeClr>
              </a:solidFill>
            </a:ln>
          </c:spPr>
        </c:majorGridlines>
        <c:title>
          <c:tx>
            <c:strRef>
              <c:f>'Table A1'!$A$11</c:f>
              <c:strCache>
                <c:ptCount val="1"/>
                <c:pt idx="0">
                  <c:v>Number of students</c:v>
                </c:pt>
              </c:strCache>
            </c:strRef>
          </c:tx>
          <c:overlay val="0"/>
          <c:txPr>
            <a:bodyPr rot="-5400000" vert="horz"/>
            <a:lstStyle/>
            <a:p>
              <a:pPr>
                <a:defRPr sz="1200"/>
              </a:pPr>
              <a:endParaRPr lang="en-US"/>
            </a:p>
          </c:txPr>
        </c:title>
        <c:numFmt formatCode="#,##0" sourceLinked="1"/>
        <c:majorTickMark val="out"/>
        <c:minorTickMark val="none"/>
        <c:tickLblPos val="nextTo"/>
        <c:txPr>
          <a:bodyPr/>
          <a:lstStyle/>
          <a:p>
            <a:pPr>
              <a:defRPr sz="1200"/>
            </a:pPr>
            <a:endParaRPr lang="en-US"/>
          </a:p>
        </c:txPr>
        <c:crossAx val="169552512"/>
        <c:crosses val="autoZero"/>
        <c:crossBetween val="between"/>
      </c:valAx>
    </c:plotArea>
    <c:legend>
      <c:legendPos val="b"/>
      <c:overlay val="0"/>
      <c:txPr>
        <a:bodyPr/>
        <a:lstStyle/>
        <a:p>
          <a:pPr>
            <a:defRPr sz="1200"/>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noFill/>
          </c:spPr>
          <c:invertIfNegative val="0"/>
          <c:val>
            <c:numLit>
              <c:formatCode>General</c:formatCode>
              <c:ptCount val="1"/>
              <c:pt idx="0">
                <c:v>1</c:v>
              </c:pt>
            </c:numLit>
          </c:val>
          <c:extLst xmlns:c16r2="http://schemas.microsoft.com/office/drawing/2015/06/chart">
            <c:ext xmlns:c16="http://schemas.microsoft.com/office/drawing/2014/chart" uri="{C3380CC4-5D6E-409C-BE32-E72D297353CC}">
              <c16:uniqueId val="{00000000-AA06-43F7-890E-9AEE351585A6}"/>
            </c:ext>
          </c:extLst>
        </c:ser>
        <c:dLbls>
          <c:showLegendKey val="0"/>
          <c:showVal val="0"/>
          <c:showCatName val="0"/>
          <c:showSerName val="0"/>
          <c:showPercent val="0"/>
          <c:showBubbleSize val="0"/>
        </c:dLbls>
        <c:gapWidth val="150"/>
        <c:axId val="185949568"/>
        <c:axId val="185951360"/>
      </c:barChart>
      <c:barChart>
        <c:barDir val="col"/>
        <c:grouping val="clustered"/>
        <c:varyColors val="0"/>
        <c:ser>
          <c:idx val="1"/>
          <c:order val="1"/>
          <c:spPr>
            <a:noFill/>
          </c:spPr>
          <c:invertIfNegative val="0"/>
          <c:val>
            <c:numLit>
              <c:formatCode>General</c:formatCode>
              <c:ptCount val="1"/>
              <c:pt idx="0">
                <c:v>1</c:v>
              </c:pt>
            </c:numLit>
          </c:val>
          <c:extLst xmlns:c16r2="http://schemas.microsoft.com/office/drawing/2015/06/chart">
            <c:ext xmlns:c16="http://schemas.microsoft.com/office/drawing/2014/chart" uri="{C3380CC4-5D6E-409C-BE32-E72D297353CC}">
              <c16:uniqueId val="{00000001-AA06-43F7-890E-9AEE351585A6}"/>
            </c:ext>
          </c:extLst>
        </c:ser>
        <c:dLbls>
          <c:showLegendKey val="0"/>
          <c:showVal val="0"/>
          <c:showCatName val="0"/>
          <c:showSerName val="0"/>
          <c:showPercent val="0"/>
          <c:showBubbleSize val="0"/>
        </c:dLbls>
        <c:gapWidth val="150"/>
        <c:axId val="185952896"/>
        <c:axId val="185954688"/>
      </c:barChart>
      <c:catAx>
        <c:axId val="185949568"/>
        <c:scaling>
          <c:orientation val="minMax"/>
        </c:scaling>
        <c:delete val="1"/>
        <c:axPos val="b"/>
        <c:majorTickMark val="out"/>
        <c:minorTickMark val="none"/>
        <c:tickLblPos val="nextTo"/>
        <c:crossAx val="185951360"/>
        <c:crosses val="autoZero"/>
        <c:auto val="1"/>
        <c:lblAlgn val="ctr"/>
        <c:lblOffset val="100"/>
        <c:noMultiLvlLbl val="0"/>
      </c:catAx>
      <c:valAx>
        <c:axId val="185951360"/>
        <c:scaling>
          <c:orientation val="minMax"/>
          <c:max val="1"/>
        </c:scaling>
        <c:delete val="0"/>
        <c:axPos val="l"/>
        <c:numFmt formatCode="0%" sourceLinked="0"/>
        <c:majorTickMark val="out"/>
        <c:minorTickMark val="none"/>
        <c:tickLblPos val="nextTo"/>
        <c:spPr>
          <a:ln>
            <a:solidFill>
              <a:srgbClr val="002060"/>
            </a:solidFill>
          </a:ln>
        </c:spPr>
        <c:txPr>
          <a:bodyPr/>
          <a:lstStyle/>
          <a:p>
            <a:pPr>
              <a:defRPr sz="1000"/>
            </a:pPr>
            <a:endParaRPr lang="en-US"/>
          </a:p>
        </c:txPr>
        <c:crossAx val="185949568"/>
        <c:crosses val="autoZero"/>
        <c:crossBetween val="between"/>
        <c:majorUnit val="0.5"/>
      </c:valAx>
      <c:catAx>
        <c:axId val="185952896"/>
        <c:scaling>
          <c:orientation val="minMax"/>
        </c:scaling>
        <c:delete val="1"/>
        <c:axPos val="b"/>
        <c:majorTickMark val="out"/>
        <c:minorTickMark val="none"/>
        <c:tickLblPos val="nextTo"/>
        <c:crossAx val="185954688"/>
        <c:crosses val="autoZero"/>
        <c:auto val="1"/>
        <c:lblAlgn val="ctr"/>
        <c:lblOffset val="100"/>
        <c:noMultiLvlLbl val="0"/>
      </c:catAx>
      <c:valAx>
        <c:axId val="185954688"/>
        <c:scaling>
          <c:orientation val="minMax"/>
          <c:max val="1"/>
        </c:scaling>
        <c:delete val="0"/>
        <c:axPos val="r"/>
        <c:numFmt formatCode="0%" sourceLinked="0"/>
        <c:majorTickMark val="out"/>
        <c:minorTickMark val="none"/>
        <c:tickLblPos val="nextTo"/>
        <c:spPr>
          <a:ln>
            <a:solidFill>
              <a:srgbClr val="002060"/>
            </a:solidFill>
          </a:ln>
        </c:spPr>
        <c:txPr>
          <a:bodyPr/>
          <a:lstStyle/>
          <a:p>
            <a:pPr>
              <a:defRPr>
                <a:solidFill>
                  <a:srgbClr val="002060"/>
                </a:solidFill>
              </a:defRPr>
            </a:pPr>
            <a:endParaRPr lang="en-US"/>
          </a:p>
        </c:txPr>
        <c:crossAx val="185952896"/>
        <c:crosses val="max"/>
        <c:crossBetween val="between"/>
        <c:majorUnit val="0.5"/>
      </c:valAx>
      <c:spPr>
        <a:noFill/>
        <a:ln w="25400">
          <a:noFill/>
        </a:ln>
      </c:spPr>
    </c:plotArea>
    <c:plotVisOnly val="1"/>
    <c:dispBlanksAs val="gap"/>
    <c:showDLblsOverMax val="0"/>
  </c:chart>
  <c:spPr>
    <a:noFill/>
    <a:ln>
      <a:noFill/>
    </a:ln>
  </c:spPr>
  <c:txPr>
    <a:bodyPr/>
    <a:lstStyle/>
    <a:p>
      <a:pPr>
        <a:defRPr>
          <a:solidFill>
            <a:srgbClr val="002060"/>
          </a:solidFill>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3"/>
          <c:order val="0"/>
          <c:tx>
            <c:strRef>
              <c:f>'Table A11'!$A$5</c:f>
              <c:strCache>
                <c:ptCount val="1"/>
                <c:pt idx="0">
                  <c:v>Total</c:v>
                </c:pt>
              </c:strCache>
            </c:strRef>
          </c:tx>
          <c:spPr>
            <a:ln>
              <a:solidFill>
                <a:srgbClr val="002060"/>
              </a:solidFill>
            </a:ln>
          </c:spPr>
          <c:marker>
            <c:symbol val="square"/>
            <c:size val="5"/>
            <c:spPr>
              <a:solidFill>
                <a:srgbClr val="002060"/>
              </a:solidFill>
              <a:ln>
                <a:solidFill>
                  <a:srgbClr val="002060"/>
                </a:solidFill>
              </a:ln>
            </c:spPr>
          </c:marker>
          <c:val>
            <c:numRef>
              <c:f>'Table A11'!$B$6:$M$6</c:f>
              <c:numCache>
                <c:formatCode>#,##0</c:formatCode>
                <c:ptCount val="10"/>
                <c:pt idx="0">
                  <c:v>77170</c:v>
                </c:pt>
                <c:pt idx="1">
                  <c:v>79075</c:v>
                </c:pt>
                <c:pt idx="2">
                  <c:v>79395</c:v>
                </c:pt>
                <c:pt idx="3">
                  <c:v>80875</c:v>
                </c:pt>
                <c:pt idx="4">
                  <c:v>81640</c:v>
                </c:pt>
                <c:pt idx="5">
                  <c:v>85655</c:v>
                </c:pt>
                <c:pt idx="6">
                  <c:v>88985</c:v>
                </c:pt>
                <c:pt idx="7">
                  <c:v>93530</c:v>
                </c:pt>
                <c:pt idx="8">
                  <c:v>97550</c:v>
                </c:pt>
                <c:pt idx="9">
                  <c:v>99895</c:v>
                </c:pt>
              </c:numCache>
            </c:numRef>
          </c:val>
          <c:smooth val="0"/>
          <c:extLst xmlns:c16r2="http://schemas.microsoft.com/office/drawing/2015/06/chart">
            <c:ext xmlns:c15="http://schemas.microsoft.com/office/drawing/2012/chart" uri="{02D57815-91ED-43cb-92C2-25804820EDAC}">
              <c15:filteredCategoryTitle>
                <c15:cat>
                  <c:multiLvlStrRef>
                    <c:extLst>
                      <c:ext uri="{02D57815-91ED-43cb-92C2-25804820EDAC}">
                        <c15:formulaRef>
                          <c15:sqref>'Figure 3.10'!$B$56:$K$56</c15:sqref>
                        </c15:formulaRef>
                      </c:ext>
                    </c:extLst>
                  </c:multiLvlStrRef>
                </c15:cat>
              </c15:filteredCategoryTitle>
            </c:ext>
            <c:ext xmlns:c16="http://schemas.microsoft.com/office/drawing/2014/chart" uri="{C3380CC4-5D6E-409C-BE32-E72D297353CC}">
              <c16:uniqueId val="{00000000-9C65-441F-8659-D3D7B90A62BC}"/>
            </c:ext>
          </c:extLst>
        </c:ser>
        <c:ser>
          <c:idx val="0"/>
          <c:order val="1"/>
          <c:tx>
            <c:strRef>
              <c:f>'Table A11'!$A$10</c:f>
              <c:strCache>
                <c:ptCount val="1"/>
                <c:pt idx="0">
                  <c:v>Non-Income Assessed Loan</c:v>
                </c:pt>
              </c:strCache>
            </c:strRef>
          </c:tx>
          <c:marker>
            <c:symbol val="circle"/>
            <c:size val="5"/>
          </c:marker>
          <c:dPt>
            <c:idx val="6"/>
            <c:marker>
              <c:spPr>
                <a:solidFill>
                  <a:srgbClr val="4F81BD"/>
                </a:solidFill>
                <a:ln>
                  <a:solidFill>
                    <a:srgbClr val="4F81BD"/>
                  </a:solidFill>
                </a:ln>
              </c:spPr>
            </c:marker>
            <c:bubble3D val="0"/>
            <c:spPr>
              <a:ln>
                <a:solidFill>
                  <a:srgbClr val="4F81BD"/>
                </a:solidFill>
              </a:ln>
            </c:spPr>
            <c:extLst xmlns:c16r2="http://schemas.microsoft.com/office/drawing/2015/06/chart">
              <c:ext xmlns:c16="http://schemas.microsoft.com/office/drawing/2014/chart" uri="{C3380CC4-5D6E-409C-BE32-E72D297353CC}">
                <c16:uniqueId val="{00000002-9C65-441F-8659-D3D7B90A62BC}"/>
              </c:ext>
            </c:extLst>
          </c:dPt>
          <c:dPt>
            <c:idx val="9"/>
            <c:bubble3D val="0"/>
            <c:spPr>
              <a:ln>
                <a:prstDash val="sysDot"/>
              </a:ln>
            </c:spPr>
            <c:extLst xmlns:c16r2="http://schemas.microsoft.com/office/drawing/2015/06/chart">
              <c:ext xmlns:c16="http://schemas.microsoft.com/office/drawing/2014/chart" uri="{C3380CC4-5D6E-409C-BE32-E72D297353CC}">
                <c16:uniqueId val="{00000004-9C65-441F-8659-D3D7B90A62BC}"/>
              </c:ext>
            </c:extLst>
          </c:dPt>
          <c:val>
            <c:numRef>
              <c:f>'Table A11'!$B$11:$M$11</c:f>
              <c:numCache>
                <c:formatCode>#,##0</c:formatCode>
                <c:ptCount val="10"/>
                <c:pt idx="0">
                  <c:v>76465</c:v>
                </c:pt>
                <c:pt idx="1">
                  <c:v>78370</c:v>
                </c:pt>
                <c:pt idx="2">
                  <c:v>77920</c:v>
                </c:pt>
                <c:pt idx="3">
                  <c:v>80785</c:v>
                </c:pt>
                <c:pt idx="4">
                  <c:v>81585</c:v>
                </c:pt>
                <c:pt idx="5">
                  <c:v>39980</c:v>
                </c:pt>
                <c:pt idx="6">
                  <c:v>43610</c:v>
                </c:pt>
                <c:pt idx="7">
                  <c:v>47415</c:v>
                </c:pt>
                <c:pt idx="8">
                  <c:v>50200</c:v>
                </c:pt>
                <c:pt idx="9">
                  <c:v>50860</c:v>
                </c:pt>
              </c:numCache>
            </c:numRef>
          </c:val>
          <c:smooth val="0"/>
          <c:extLst xmlns:c16r2="http://schemas.microsoft.com/office/drawing/2015/06/chart">
            <c:ext xmlns:c15="http://schemas.microsoft.com/office/drawing/2012/chart" uri="{02D57815-91ED-43cb-92C2-25804820EDAC}">
              <c15:filteredCategoryTitle>
                <c15:cat>
                  <c:multiLvlStrRef>
                    <c:extLst>
                      <c:ext uri="{02D57815-91ED-43cb-92C2-25804820EDAC}">
                        <c15:formulaRef>
                          <c15:sqref>'Figure 3.10'!$B$56:$K$56</c15:sqref>
                        </c15:formulaRef>
                      </c:ext>
                    </c:extLst>
                  </c:multiLvlStrRef>
                </c15:cat>
              </c15:filteredCategoryTitle>
            </c:ext>
            <c:ext xmlns:c16="http://schemas.microsoft.com/office/drawing/2014/chart" uri="{C3380CC4-5D6E-409C-BE32-E72D297353CC}">
              <c16:uniqueId val="{00000005-9C65-441F-8659-D3D7B90A62BC}"/>
            </c:ext>
          </c:extLst>
        </c:ser>
        <c:ser>
          <c:idx val="2"/>
          <c:order val="2"/>
          <c:tx>
            <c:strRef>
              <c:f>'Table A11'!$A$15</c:f>
              <c:strCache>
                <c:ptCount val="1"/>
                <c:pt idx="0">
                  <c:v>Income Assessed Loan</c:v>
                </c:pt>
              </c:strCache>
            </c:strRef>
          </c:tx>
          <c:spPr>
            <a:ln>
              <a:solidFill>
                <a:srgbClr val="008080"/>
              </a:solidFill>
            </a:ln>
          </c:spPr>
          <c:marker>
            <c:symbol val="triangle"/>
            <c:size val="5"/>
            <c:spPr>
              <a:solidFill>
                <a:srgbClr val="008080"/>
              </a:solidFill>
              <a:ln>
                <a:solidFill>
                  <a:srgbClr val="008080"/>
                </a:solidFill>
              </a:ln>
            </c:spPr>
          </c:marker>
          <c:dPt>
            <c:idx val="9"/>
            <c:bubble3D val="0"/>
            <c:spPr>
              <a:ln>
                <a:solidFill>
                  <a:srgbClr val="008080"/>
                </a:solidFill>
                <a:prstDash val="sysDot"/>
              </a:ln>
            </c:spPr>
            <c:extLst xmlns:c16r2="http://schemas.microsoft.com/office/drawing/2015/06/chart">
              <c:ext xmlns:c16="http://schemas.microsoft.com/office/drawing/2014/chart" uri="{C3380CC4-5D6E-409C-BE32-E72D297353CC}">
                <c16:uniqueId val="{00000007-9C65-441F-8659-D3D7B90A62BC}"/>
              </c:ext>
            </c:extLst>
          </c:dPt>
          <c:val>
            <c:numRef>
              <c:f>'Table A11'!$B$16:$M$16</c:f>
              <c:numCache>
                <c:formatCode>#,##0</c:formatCode>
                <c:ptCount val="10"/>
                <c:pt idx="0">
                  <c:v>56180</c:v>
                </c:pt>
                <c:pt idx="1">
                  <c:v>57810</c:v>
                </c:pt>
                <c:pt idx="2">
                  <c:v>60130</c:v>
                </c:pt>
                <c:pt idx="3">
                  <c:v>59390</c:v>
                </c:pt>
                <c:pt idx="4">
                  <c:v>59785</c:v>
                </c:pt>
                <c:pt idx="5">
                  <c:v>45675</c:v>
                </c:pt>
                <c:pt idx="6">
                  <c:v>45375</c:v>
                </c:pt>
                <c:pt idx="7">
                  <c:v>46115</c:v>
                </c:pt>
                <c:pt idx="8">
                  <c:v>45230</c:v>
                </c:pt>
                <c:pt idx="9">
                  <c:v>45145</c:v>
                </c:pt>
              </c:numCache>
            </c:numRef>
          </c:val>
          <c:smooth val="0"/>
          <c:extLst xmlns:c16r2="http://schemas.microsoft.com/office/drawing/2015/06/chart">
            <c:ext xmlns:c15="http://schemas.microsoft.com/office/drawing/2012/chart" uri="{02D57815-91ED-43cb-92C2-25804820EDAC}">
              <c15:filteredCategoryTitle>
                <c15:cat>
                  <c:multiLvlStrRef>
                    <c:extLst>
                      <c:ext uri="{02D57815-91ED-43cb-92C2-25804820EDAC}">
                        <c15:formulaRef>
                          <c15:sqref>'Figure 3.10'!$B$56:$K$56</c15:sqref>
                        </c15:formulaRef>
                      </c:ext>
                    </c:extLst>
                  </c:multiLvlStrRef>
                </c15:cat>
              </c15:filteredCategoryTitle>
            </c:ext>
            <c:ext xmlns:c16="http://schemas.microsoft.com/office/drawing/2014/chart" uri="{C3380CC4-5D6E-409C-BE32-E72D297353CC}">
              <c16:uniqueId val="{00000008-9C65-441F-8659-D3D7B90A62BC}"/>
            </c:ext>
          </c:extLst>
        </c:ser>
        <c:ser>
          <c:idx val="1"/>
          <c:order val="3"/>
          <c:tx>
            <c:strRef>
              <c:f>'Table A11'!$A$20</c:f>
              <c:strCache>
                <c:ptCount val="1"/>
                <c:pt idx="0">
                  <c:v>Additional Income Assessed Loan</c:v>
                </c:pt>
              </c:strCache>
            </c:strRef>
          </c:tx>
          <c:spPr>
            <a:ln>
              <a:solidFill>
                <a:srgbClr val="81C9BB"/>
              </a:solidFill>
            </a:ln>
          </c:spPr>
          <c:marker>
            <c:symbol val="diamond"/>
            <c:size val="5"/>
            <c:spPr>
              <a:solidFill>
                <a:srgbClr val="81C9BB"/>
              </a:solidFill>
              <a:ln>
                <a:solidFill>
                  <a:srgbClr val="81C9BB"/>
                </a:solidFill>
              </a:ln>
            </c:spPr>
          </c:marker>
          <c:val>
            <c:numRef>
              <c:f>'Table A11'!$B$21:$H$21</c:f>
              <c:numCache>
                <c:formatCode>#,##0</c:formatCode>
                <c:ptCount val="5"/>
                <c:pt idx="0">
                  <c:v>15075</c:v>
                </c:pt>
                <c:pt idx="1">
                  <c:v>15465</c:v>
                </c:pt>
                <c:pt idx="2">
                  <c:v>31865</c:v>
                </c:pt>
                <c:pt idx="3">
                  <c:v>34520</c:v>
                </c:pt>
                <c:pt idx="4">
                  <c:v>33885</c:v>
                </c:pt>
              </c:numCache>
            </c:numRef>
          </c:val>
          <c:smooth val="0"/>
          <c:extLst xmlns:c16r2="http://schemas.microsoft.com/office/drawing/2015/06/chart">
            <c:ext xmlns:c15="http://schemas.microsoft.com/office/drawing/2012/chart" uri="{02D57815-91ED-43cb-92C2-25804820EDAC}">
              <c15:filteredCategoryTitle>
                <c15:cat>
                  <c:multiLvlStrRef>
                    <c:extLst>
                      <c:ext uri="{02D57815-91ED-43cb-92C2-25804820EDAC}">
                        <c15:formulaRef>
                          <c15:sqref>'Figure 3.10'!$B$56:$K$56</c15:sqref>
                        </c15:formulaRef>
                      </c:ext>
                    </c:extLst>
                  </c:multiLvlStrRef>
                </c15:cat>
              </c15:filteredCategoryTitle>
            </c:ext>
            <c:ext xmlns:c16="http://schemas.microsoft.com/office/drawing/2014/chart" uri="{C3380CC4-5D6E-409C-BE32-E72D297353CC}">
              <c16:uniqueId val="{00000009-9C65-441F-8659-D3D7B90A62BC}"/>
            </c:ext>
          </c:extLst>
        </c:ser>
        <c:ser>
          <c:idx val="4"/>
          <c:order val="4"/>
          <c:tx>
            <c:strRef>
              <c:f>'Figure 3.10'!$A$57</c:f>
              <c:strCache>
                <c:ptCount val="1"/>
                <c:pt idx="0">
                  <c:v>Eligibility criteria for Additional Income Assessed Loan revised in 2010-11</c:v>
                </c:pt>
              </c:strCache>
            </c:strRef>
          </c:tx>
          <c:marker>
            <c:symbol val="none"/>
          </c:marker>
          <c:dLbls>
            <c:spPr>
              <a:solidFill>
                <a:schemeClr val="bg1">
                  <a:alpha val="74000"/>
                </a:schemeClr>
              </a:solidFill>
            </c:spPr>
            <c:dLblPos val="t"/>
            <c:showLegendKey val="0"/>
            <c:showVal val="0"/>
            <c:showCatName val="0"/>
            <c:showSerName val="1"/>
            <c:showPercent val="0"/>
            <c:showBubbleSize val="0"/>
            <c:showLeaderLines val="0"/>
            <c:extLst xmlns:c16r2="http://schemas.microsoft.com/office/drawing/2015/06/chart">
              <c:ext xmlns:c15="http://schemas.microsoft.com/office/drawing/2012/chart" uri="{CE6537A1-D6FC-4f65-9D91-7224C49458BB}">
                <c15:showLeaderLines val="0"/>
              </c:ext>
            </c:extLst>
          </c:dLbls>
          <c:errBars>
            <c:errDir val="y"/>
            <c:errBarType val="minus"/>
            <c:errValType val="cust"/>
            <c:noEndCap val="1"/>
            <c:minus>
              <c:numRef>
                <c:f>'Figure 3.10'!$A$56</c:f>
              </c:numRef>
            </c:minus>
            <c:spPr>
              <a:ln w="3175">
                <a:solidFill>
                  <a:srgbClr val="C0C0C0"/>
                </a:solidFill>
                <a:prstDash val="sysDash"/>
              </a:ln>
            </c:spPr>
          </c:errBars>
          <c:val>
            <c:numRef>
              <c:f>'Figure 3.10'!$C$57:$K$57</c:f>
            </c:numRef>
          </c:val>
          <c:smooth val="0"/>
          <c:extLst xmlns:c16r2="http://schemas.microsoft.com/office/drawing/2015/06/chart">
            <c:ext xmlns:c15="http://schemas.microsoft.com/office/drawing/2012/chart" uri="{02D57815-91ED-43cb-92C2-25804820EDAC}">
              <c15:filteredCategoryTitle>
                <c15:cat>
                  <c:multiLvlStrRef>
                    <c:extLst>
                      <c:ext uri="{02D57815-91ED-43cb-92C2-25804820EDAC}">
                        <c15:formulaRef>
                          <c15:sqref>'Figure 3.10'!$B$56:$K$56</c15:sqref>
                        </c15:formulaRef>
                      </c:ext>
                    </c:extLst>
                  </c:multiLvlStrRef>
                </c15:cat>
              </c15:filteredCategoryTitle>
            </c:ext>
            <c:ext xmlns:c16="http://schemas.microsoft.com/office/drawing/2014/chart" uri="{C3380CC4-5D6E-409C-BE32-E72D297353CC}">
              <c16:uniqueId val="{0000000A-9C65-441F-8659-D3D7B90A62BC}"/>
            </c:ext>
          </c:extLst>
        </c:ser>
        <c:ser>
          <c:idx val="5"/>
          <c:order val="5"/>
          <c:tx>
            <c:strRef>
              <c:f>'Figure 3.10'!$A$58</c:f>
              <c:strCache>
                <c:ptCount val="1"/>
                <c:pt idx="0">
                  <c:v>Substantial change to support packages in 2013-14, more emphasis on loans</c:v>
                </c:pt>
              </c:strCache>
            </c:strRef>
          </c:tx>
          <c:spPr>
            <a:ln>
              <a:noFill/>
            </a:ln>
          </c:spPr>
          <c:marker>
            <c:symbol val="none"/>
          </c:marker>
          <c:dLbls>
            <c:spPr>
              <a:noFill/>
              <a:ln>
                <a:noFill/>
              </a:ln>
              <a:effectLst/>
            </c:spPr>
            <c:dLblPos val="t"/>
            <c:showLegendKey val="0"/>
            <c:showVal val="0"/>
            <c:showCatName val="0"/>
            <c:showSerName val="1"/>
            <c:showPercent val="0"/>
            <c:showBubbleSize val="0"/>
            <c:showLeaderLines val="0"/>
            <c:extLst xmlns:c16r2="http://schemas.microsoft.com/office/drawing/2015/06/chart">
              <c:ext xmlns:c15="http://schemas.microsoft.com/office/drawing/2012/chart" uri="{CE6537A1-D6FC-4f65-9D91-7224C49458BB}">
                <c15:showLeaderLines val="0"/>
              </c:ext>
            </c:extLst>
          </c:dLbls>
          <c:errBars>
            <c:errDir val="y"/>
            <c:errBarType val="minus"/>
            <c:errValType val="cust"/>
            <c:noEndCap val="1"/>
            <c:plus>
              <c:numLit>
                <c:formatCode>General</c:formatCode>
                <c:ptCount val="1"/>
                <c:pt idx="0">
                  <c:v>1</c:v>
                </c:pt>
              </c:numLit>
            </c:plus>
            <c:minus>
              <c:numRef>
                <c:f>'Figure 3.10'!$A$56</c:f>
              </c:numRef>
            </c:minus>
            <c:spPr>
              <a:ln w="3175">
                <a:solidFill>
                  <a:srgbClr val="C0C0C0"/>
                </a:solidFill>
                <a:prstDash val="sysDash"/>
              </a:ln>
            </c:spPr>
          </c:errBars>
          <c:val>
            <c:numRef>
              <c:f>'Figure 3.10'!$C$58:$K$58</c:f>
            </c:numRef>
          </c:val>
          <c:smooth val="0"/>
          <c:extLst xmlns:c16r2="http://schemas.microsoft.com/office/drawing/2015/06/chart">
            <c:ext xmlns:c15="http://schemas.microsoft.com/office/drawing/2012/chart" uri="{02D57815-91ED-43cb-92C2-25804820EDAC}">
              <c15:filteredCategoryTitle>
                <c15:cat>
                  <c:multiLvlStrRef>
                    <c:extLst>
                      <c:ext uri="{02D57815-91ED-43cb-92C2-25804820EDAC}">
                        <c15:formulaRef>
                          <c15:sqref>'Figure 3.10'!$B$56:$K$56</c15:sqref>
                        </c15:formulaRef>
                      </c:ext>
                    </c:extLst>
                  </c:multiLvlStrRef>
                </c15:cat>
              </c15:filteredCategoryTitle>
            </c:ext>
            <c:ext xmlns:c16="http://schemas.microsoft.com/office/drawing/2014/chart" uri="{C3380CC4-5D6E-409C-BE32-E72D297353CC}">
              <c16:uniqueId val="{0000000B-9C65-441F-8659-D3D7B90A62BC}"/>
            </c:ext>
          </c:extLst>
        </c:ser>
        <c:dLbls>
          <c:showLegendKey val="0"/>
          <c:showVal val="0"/>
          <c:showCatName val="0"/>
          <c:showSerName val="0"/>
          <c:showPercent val="0"/>
          <c:showBubbleSize val="0"/>
        </c:dLbls>
        <c:marker val="1"/>
        <c:smooth val="0"/>
        <c:axId val="185094528"/>
        <c:axId val="185096064"/>
      </c:lineChart>
      <c:catAx>
        <c:axId val="185094528"/>
        <c:scaling>
          <c:orientation val="minMax"/>
        </c:scaling>
        <c:delete val="0"/>
        <c:axPos val="b"/>
        <c:numFmt formatCode="General" sourceLinked="1"/>
        <c:majorTickMark val="out"/>
        <c:minorTickMark val="none"/>
        <c:tickLblPos val="nextTo"/>
        <c:txPr>
          <a:bodyPr/>
          <a:lstStyle/>
          <a:p>
            <a:pPr>
              <a:defRPr sz="1200"/>
            </a:pPr>
            <a:endParaRPr lang="en-US"/>
          </a:p>
        </c:txPr>
        <c:crossAx val="185096064"/>
        <c:crosses val="autoZero"/>
        <c:auto val="1"/>
        <c:lblAlgn val="ctr"/>
        <c:lblOffset val="100"/>
        <c:noMultiLvlLbl val="0"/>
      </c:catAx>
      <c:valAx>
        <c:axId val="185096064"/>
        <c:scaling>
          <c:orientation val="minMax"/>
        </c:scaling>
        <c:delete val="0"/>
        <c:axPos val="l"/>
        <c:majorGridlines>
          <c:spPr>
            <a:ln>
              <a:solidFill>
                <a:schemeClr val="bg1">
                  <a:lumMod val="85000"/>
                </a:schemeClr>
              </a:solidFill>
            </a:ln>
          </c:spPr>
        </c:majorGridlines>
        <c:title>
          <c:tx>
            <c:strRef>
              <c:f>'Table A11'!$A$6</c:f>
              <c:strCache>
                <c:ptCount val="1"/>
                <c:pt idx="0">
                  <c:v>Number of students</c:v>
                </c:pt>
              </c:strCache>
            </c:strRef>
          </c:tx>
          <c:overlay val="0"/>
          <c:txPr>
            <a:bodyPr rot="-5400000" vert="horz"/>
            <a:lstStyle/>
            <a:p>
              <a:pPr>
                <a:defRPr sz="1200"/>
              </a:pPr>
              <a:endParaRPr lang="en-US"/>
            </a:p>
          </c:txPr>
        </c:title>
        <c:numFmt formatCode="#,##0" sourceLinked="1"/>
        <c:majorTickMark val="out"/>
        <c:minorTickMark val="none"/>
        <c:tickLblPos val="nextTo"/>
        <c:txPr>
          <a:bodyPr/>
          <a:lstStyle/>
          <a:p>
            <a:pPr>
              <a:defRPr sz="1200"/>
            </a:pPr>
            <a:endParaRPr lang="en-US"/>
          </a:p>
        </c:txPr>
        <c:crossAx val="185094528"/>
        <c:crosses val="autoZero"/>
        <c:crossBetween val="between"/>
      </c:valAx>
    </c:plotArea>
    <c:legend>
      <c:legendPos val="b"/>
      <c:layout>
        <c:manualLayout>
          <c:xMode val="edge"/>
          <c:yMode val="edge"/>
          <c:x val="3.1368766404199486E-2"/>
          <c:y val="0.85954602896860122"/>
          <c:w val="0.92244765237678628"/>
          <c:h val="0.12193545251288032"/>
        </c:manualLayout>
      </c:layout>
      <c:overlay val="0"/>
      <c:txPr>
        <a:bodyPr/>
        <a:lstStyle/>
        <a:p>
          <a:pPr>
            <a:defRPr sz="1200"/>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6168071162777982"/>
          <c:y val="0.1043709755061018"/>
          <c:w val="0.26504566613156189"/>
          <c:h val="0.72261833547838727"/>
        </c:manualLayout>
      </c:layout>
      <c:pieChart>
        <c:varyColors val="1"/>
        <c:ser>
          <c:idx val="0"/>
          <c:order val="0"/>
          <c:tx>
            <c:strRef>
              <c:f>'Figure 3.10'!$B$19</c:f>
              <c:strCache>
                <c:ptCount val="1"/>
                <c:pt idx="0">
                  <c:v>Number of students</c:v>
                </c:pt>
              </c:strCache>
            </c:strRef>
          </c:tx>
          <c:dPt>
            <c:idx val="0"/>
            <c:bubble3D val="0"/>
            <c:spPr>
              <a:solidFill>
                <a:srgbClr val="002060"/>
              </a:solidFill>
            </c:spPr>
            <c:extLst xmlns:c16r2="http://schemas.microsoft.com/office/drawing/2015/06/chart">
              <c:ext xmlns:c16="http://schemas.microsoft.com/office/drawing/2014/chart" uri="{C3380CC4-5D6E-409C-BE32-E72D297353CC}">
                <c16:uniqueId val="{00000001-C745-42CF-B942-1486AC8A0457}"/>
              </c:ext>
            </c:extLst>
          </c:dPt>
          <c:dPt>
            <c:idx val="1"/>
            <c:bubble3D val="0"/>
            <c:spPr>
              <a:solidFill>
                <a:srgbClr val="008080"/>
              </a:solidFill>
            </c:spPr>
            <c:extLst xmlns:c16r2="http://schemas.microsoft.com/office/drawing/2015/06/chart">
              <c:ext xmlns:c16="http://schemas.microsoft.com/office/drawing/2014/chart" uri="{C3380CC4-5D6E-409C-BE32-E72D297353CC}">
                <c16:uniqueId val="{00000003-C745-42CF-B942-1486AC8A0457}"/>
              </c:ext>
            </c:extLst>
          </c:dPt>
          <c:dLbls>
            <c:dLbl>
              <c:idx val="0"/>
              <c:layout>
                <c:manualLayout>
                  <c:x val="7.2343123558966299E-2"/>
                  <c:y val="2.6855753859765402E-3"/>
                </c:manualLayout>
              </c:layout>
              <c:dLblPos val="bestFit"/>
              <c:showLegendKey val="0"/>
              <c:showVal val="0"/>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C745-42CF-B942-1486AC8A0457}"/>
                </c:ext>
              </c:extLst>
            </c:dLbl>
            <c:dLbl>
              <c:idx val="1"/>
              <c:layout>
                <c:manualLayout>
                  <c:x val="-7.4008646386860805E-2"/>
                  <c:y val="-7.6631897907145988E-2"/>
                </c:manualLayout>
              </c:layout>
              <c:dLblPos val="bestFit"/>
              <c:showLegendKey val="0"/>
              <c:showVal val="0"/>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C745-42CF-B942-1486AC8A0457}"/>
                </c:ext>
              </c:extLst>
            </c:dLbl>
            <c:spPr>
              <a:noFill/>
              <a:ln>
                <a:noFill/>
              </a:ln>
              <a:effectLst/>
            </c:spPr>
            <c:txPr>
              <a:bodyPr/>
              <a:lstStyle/>
              <a:p>
                <a:pPr>
                  <a:defRPr sz="1050"/>
                </a:pPr>
                <a:endParaRPr lang="en-US"/>
              </a:p>
            </c:txPr>
            <c:dLblPos val="outEnd"/>
            <c:showLegendKey val="0"/>
            <c:showVal val="0"/>
            <c:showCatName val="1"/>
            <c:showSerName val="0"/>
            <c:showPercent val="0"/>
            <c:showBubbleSize val="0"/>
            <c:showLeaderLines val="1"/>
            <c:extLst xmlns:c16r2="http://schemas.microsoft.com/office/drawing/2015/06/chart">
              <c:ext xmlns:c15="http://schemas.microsoft.com/office/drawing/2012/chart" uri="{CE6537A1-D6FC-4f65-9D91-7224C49458BB}"/>
            </c:extLst>
          </c:dLbls>
          <c:cat>
            <c:strRef>
              <c:f>'Figure 3.10'!$E$20:$E$21</c:f>
              <c:strCache>
                <c:ptCount val="2"/>
                <c:pt idx="0">
                  <c:v>Non-Income Assessed Loan
50,860 (53.0%)
£235.0M
@ £4,620</c:v>
                </c:pt>
                <c:pt idx="1">
                  <c:v>Income Assessed Loan
45,145 (47.0%)
£275.9M
@ £6,110</c:v>
                </c:pt>
              </c:strCache>
            </c:strRef>
          </c:cat>
          <c:val>
            <c:numRef>
              <c:f>'Figure 3.10'!$B$20:$B$21</c:f>
              <c:numCache>
                <c:formatCode>#,##0</c:formatCode>
                <c:ptCount val="2"/>
                <c:pt idx="0">
                  <c:v>50860</c:v>
                </c:pt>
                <c:pt idx="1">
                  <c:v>45145</c:v>
                </c:pt>
              </c:numCache>
            </c:numRef>
          </c:val>
          <c:extLst xmlns:c16r2="http://schemas.microsoft.com/office/drawing/2015/06/chart">
            <c:ext xmlns:c16="http://schemas.microsoft.com/office/drawing/2014/chart" uri="{C3380CC4-5D6E-409C-BE32-E72D297353CC}">
              <c16:uniqueId val="{00000004-C745-42CF-B942-1486AC8A0457}"/>
            </c:ext>
          </c:extLst>
        </c:ser>
        <c:dLbls>
          <c:showLegendKey val="0"/>
          <c:showVal val="0"/>
          <c:showCatName val="0"/>
          <c:showSerName val="0"/>
          <c:showPercent val="0"/>
          <c:showBubbleSize val="0"/>
          <c:showLeaderLines val="1"/>
        </c:dLbls>
        <c:firstSliceAng val="0"/>
      </c:pieChart>
    </c:plotArea>
    <c:plotVisOnly val="0"/>
    <c:dispBlanksAs val="gap"/>
    <c:showDLblsOverMax val="0"/>
  </c:chart>
  <c:spPr>
    <a:noFill/>
    <a:ln>
      <a:noFill/>
    </a:ln>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3"/>
          <c:order val="0"/>
          <c:tx>
            <c:strRef>
              <c:f>'Figure 3.11'!$A$31</c:f>
              <c:strCache>
                <c:ptCount val="1"/>
                <c:pt idx="0">
                  <c:v>All DSA recipients</c:v>
                </c:pt>
              </c:strCache>
            </c:strRef>
          </c:tx>
          <c:spPr>
            <a:solidFill>
              <a:srgbClr val="002060">
                <a:alpha val="30000"/>
              </a:srgbClr>
            </a:solidFill>
            <a:ln>
              <a:noFill/>
            </a:ln>
          </c:spPr>
          <c:invertIfNegative val="0"/>
          <c:cat>
            <c:strRef>
              <c:f>'Figure 3.11'!$B$29:$L$29</c:f>
              <c:strCache>
                <c:ptCount val="11"/>
                <c:pt idx="0">
                  <c:v>2004-05</c:v>
                </c:pt>
                <c:pt idx="1">
                  <c:v>2008-09</c:v>
                </c:pt>
                <c:pt idx="2">
                  <c:v>2009-10</c:v>
                </c:pt>
                <c:pt idx="3">
                  <c:v>2010-11</c:v>
                </c:pt>
                <c:pt idx="4">
                  <c:v>2011-12</c:v>
                </c:pt>
                <c:pt idx="5">
                  <c:v>2012-13</c:v>
                </c:pt>
                <c:pt idx="6">
                  <c:v>2013-14</c:v>
                </c:pt>
                <c:pt idx="7">
                  <c:v>2014-15</c:v>
                </c:pt>
                <c:pt idx="8">
                  <c:v>2015-16</c:v>
                </c:pt>
                <c:pt idx="9">
                  <c:v>2016-17</c:v>
                </c:pt>
                <c:pt idx="10">
                  <c:v>2017-18</c:v>
                </c:pt>
              </c:strCache>
            </c:strRef>
          </c:cat>
          <c:val>
            <c:numRef>
              <c:f>'Figure 3.11'!$B$31:$L$31</c:f>
              <c:numCache>
                <c:formatCode>#,##0</c:formatCode>
                <c:ptCount val="11"/>
                <c:pt idx="0">
                  <c:v>2775</c:v>
                </c:pt>
                <c:pt idx="1">
                  <c:v>4065</c:v>
                </c:pt>
                <c:pt idx="2">
                  <c:v>4275</c:v>
                </c:pt>
                <c:pt idx="3">
                  <c:v>4435</c:v>
                </c:pt>
                <c:pt idx="4">
                  <c:v>4495</c:v>
                </c:pt>
                <c:pt idx="5">
                  <c:v>4045</c:v>
                </c:pt>
                <c:pt idx="6">
                  <c:v>4265</c:v>
                </c:pt>
                <c:pt idx="7">
                  <c:v>4270</c:v>
                </c:pt>
                <c:pt idx="8">
                  <c:v>4355</c:v>
                </c:pt>
                <c:pt idx="9">
                  <c:v>4415</c:v>
                </c:pt>
                <c:pt idx="10">
                  <c:v>4655</c:v>
                </c:pt>
              </c:numCache>
            </c:numRef>
          </c:val>
          <c:extLst xmlns:c16r2="http://schemas.microsoft.com/office/drawing/2015/06/chart">
            <c:ext xmlns:c16="http://schemas.microsoft.com/office/drawing/2014/chart" uri="{C3380CC4-5D6E-409C-BE32-E72D297353CC}">
              <c16:uniqueId val="{00000000-FF01-4167-B59B-9F432F0DCE69}"/>
            </c:ext>
          </c:extLst>
        </c:ser>
        <c:ser>
          <c:idx val="0"/>
          <c:order val="1"/>
          <c:tx>
            <c:strRef>
              <c:f>'Figure 3.11'!$A$32</c:f>
              <c:strCache>
                <c:ptCount val="1"/>
                <c:pt idx="0">
                  <c:v>Disability: Dyslexia</c:v>
                </c:pt>
              </c:strCache>
            </c:strRef>
          </c:tx>
          <c:spPr>
            <a:solidFill>
              <a:srgbClr val="4F81BD">
                <a:alpha val="30000"/>
              </a:srgbClr>
            </a:solidFill>
            <a:ln>
              <a:noFill/>
            </a:ln>
          </c:spPr>
          <c:invertIfNegative val="0"/>
          <c:dPt>
            <c:idx val="6"/>
            <c:invertIfNegative val="0"/>
            <c:bubble3D val="0"/>
            <c:extLst xmlns:c16r2="http://schemas.microsoft.com/office/drawing/2015/06/chart">
              <c:ext xmlns:c16="http://schemas.microsoft.com/office/drawing/2014/chart" uri="{C3380CC4-5D6E-409C-BE32-E72D297353CC}">
                <c16:uniqueId val="{00000001-FF01-4167-B59B-9F432F0DCE69}"/>
              </c:ext>
            </c:extLst>
          </c:dPt>
          <c:cat>
            <c:strRef>
              <c:f>'Figure 3.11'!$B$29:$L$29</c:f>
              <c:strCache>
                <c:ptCount val="11"/>
                <c:pt idx="0">
                  <c:v>2004-05</c:v>
                </c:pt>
                <c:pt idx="1">
                  <c:v>2008-09</c:v>
                </c:pt>
                <c:pt idx="2">
                  <c:v>2009-10</c:v>
                </c:pt>
                <c:pt idx="3">
                  <c:v>2010-11</c:v>
                </c:pt>
                <c:pt idx="4">
                  <c:v>2011-12</c:v>
                </c:pt>
                <c:pt idx="5">
                  <c:v>2012-13</c:v>
                </c:pt>
                <c:pt idx="6">
                  <c:v>2013-14</c:v>
                </c:pt>
                <c:pt idx="7">
                  <c:v>2014-15</c:v>
                </c:pt>
                <c:pt idx="8">
                  <c:v>2015-16</c:v>
                </c:pt>
                <c:pt idx="9">
                  <c:v>2016-17</c:v>
                </c:pt>
                <c:pt idx="10">
                  <c:v>2017-18</c:v>
                </c:pt>
              </c:strCache>
            </c:strRef>
          </c:cat>
          <c:val>
            <c:numRef>
              <c:f>'Figure 3.11'!$B$32:$L$32</c:f>
              <c:numCache>
                <c:formatCode>#,##0</c:formatCode>
                <c:ptCount val="11"/>
                <c:pt idx="0">
                  <c:v>1825</c:v>
                </c:pt>
                <c:pt idx="1">
                  <c:v>2450</c:v>
                </c:pt>
                <c:pt idx="2">
                  <c:v>2620</c:v>
                </c:pt>
                <c:pt idx="3">
                  <c:v>2560</c:v>
                </c:pt>
                <c:pt idx="4">
                  <c:v>2755</c:v>
                </c:pt>
                <c:pt idx="5">
                  <c:v>2380</c:v>
                </c:pt>
                <c:pt idx="6">
                  <c:v>2625</c:v>
                </c:pt>
                <c:pt idx="7">
                  <c:v>2610</c:v>
                </c:pt>
                <c:pt idx="8">
                  <c:v>2460</c:v>
                </c:pt>
                <c:pt idx="9">
                  <c:v>2460</c:v>
                </c:pt>
                <c:pt idx="10">
                  <c:v>2370</c:v>
                </c:pt>
              </c:numCache>
            </c:numRef>
          </c:val>
          <c:extLst xmlns:c16r2="http://schemas.microsoft.com/office/drawing/2015/06/chart">
            <c:ext xmlns:c16="http://schemas.microsoft.com/office/drawing/2014/chart" uri="{C3380CC4-5D6E-409C-BE32-E72D297353CC}">
              <c16:uniqueId val="{00000002-FF01-4167-B59B-9F432F0DCE69}"/>
            </c:ext>
          </c:extLst>
        </c:ser>
        <c:ser>
          <c:idx val="2"/>
          <c:order val="2"/>
          <c:tx>
            <c:strRef>
              <c:f>'Figure 3.11'!$A$33</c:f>
              <c:strCache>
                <c:ptCount val="1"/>
                <c:pt idx="0">
                  <c:v>Disability: Any other</c:v>
                </c:pt>
              </c:strCache>
            </c:strRef>
          </c:tx>
          <c:spPr>
            <a:solidFill>
              <a:srgbClr val="008080">
                <a:alpha val="30000"/>
              </a:srgbClr>
            </a:solidFill>
            <a:ln>
              <a:noFill/>
            </a:ln>
          </c:spPr>
          <c:invertIfNegative val="0"/>
          <c:cat>
            <c:strRef>
              <c:f>'Figure 3.11'!$B$29:$L$29</c:f>
              <c:strCache>
                <c:ptCount val="11"/>
                <c:pt idx="0">
                  <c:v>2004-05</c:v>
                </c:pt>
                <c:pt idx="1">
                  <c:v>2008-09</c:v>
                </c:pt>
                <c:pt idx="2">
                  <c:v>2009-10</c:v>
                </c:pt>
                <c:pt idx="3">
                  <c:v>2010-11</c:v>
                </c:pt>
                <c:pt idx="4">
                  <c:v>2011-12</c:v>
                </c:pt>
                <c:pt idx="5">
                  <c:v>2012-13</c:v>
                </c:pt>
                <c:pt idx="6">
                  <c:v>2013-14</c:v>
                </c:pt>
                <c:pt idx="7">
                  <c:v>2014-15</c:v>
                </c:pt>
                <c:pt idx="8">
                  <c:v>2015-16</c:v>
                </c:pt>
                <c:pt idx="9">
                  <c:v>2016-17</c:v>
                </c:pt>
                <c:pt idx="10">
                  <c:v>2017-18</c:v>
                </c:pt>
              </c:strCache>
            </c:strRef>
          </c:cat>
          <c:val>
            <c:numRef>
              <c:f>'Figure 3.11'!$B$33:$L$33</c:f>
              <c:numCache>
                <c:formatCode>#,##0</c:formatCode>
                <c:ptCount val="11"/>
                <c:pt idx="0">
                  <c:v>950</c:v>
                </c:pt>
                <c:pt idx="1">
                  <c:v>1620</c:v>
                </c:pt>
                <c:pt idx="2">
                  <c:v>1660</c:v>
                </c:pt>
                <c:pt idx="3">
                  <c:v>1880</c:v>
                </c:pt>
                <c:pt idx="4">
                  <c:v>1735</c:v>
                </c:pt>
                <c:pt idx="5">
                  <c:v>1665</c:v>
                </c:pt>
                <c:pt idx="6">
                  <c:v>1640</c:v>
                </c:pt>
                <c:pt idx="7">
                  <c:v>1660</c:v>
                </c:pt>
                <c:pt idx="8">
                  <c:v>1895</c:v>
                </c:pt>
                <c:pt idx="9">
                  <c:v>1955</c:v>
                </c:pt>
                <c:pt idx="10">
                  <c:v>2285</c:v>
                </c:pt>
              </c:numCache>
            </c:numRef>
          </c:val>
          <c:extLst xmlns:c16r2="http://schemas.microsoft.com/office/drawing/2015/06/chart">
            <c:ext xmlns:c16="http://schemas.microsoft.com/office/drawing/2014/chart" uri="{C3380CC4-5D6E-409C-BE32-E72D297353CC}">
              <c16:uniqueId val="{00000003-FF01-4167-B59B-9F432F0DCE69}"/>
            </c:ext>
          </c:extLst>
        </c:ser>
        <c:dLbls>
          <c:showLegendKey val="0"/>
          <c:showVal val="0"/>
          <c:showCatName val="0"/>
          <c:showSerName val="0"/>
          <c:showPercent val="0"/>
          <c:showBubbleSize val="0"/>
        </c:dLbls>
        <c:gapWidth val="150"/>
        <c:axId val="186862592"/>
        <c:axId val="186877056"/>
      </c:barChart>
      <c:lineChart>
        <c:grouping val="standard"/>
        <c:varyColors val="0"/>
        <c:ser>
          <c:idx val="1"/>
          <c:order val="3"/>
          <c:tx>
            <c:strRef>
              <c:f>'Figure 3.11'!$A$36</c:f>
              <c:strCache>
                <c:ptCount val="1"/>
                <c:pt idx="0">
                  <c:v>All DSA recipients</c:v>
                </c:pt>
              </c:strCache>
            </c:strRef>
          </c:tx>
          <c:spPr>
            <a:ln>
              <a:solidFill>
                <a:srgbClr val="002060"/>
              </a:solidFill>
            </a:ln>
          </c:spPr>
          <c:marker>
            <c:symbol val="square"/>
            <c:size val="5"/>
            <c:spPr>
              <a:solidFill>
                <a:srgbClr val="002060"/>
              </a:solidFill>
              <a:ln>
                <a:solidFill>
                  <a:srgbClr val="002060"/>
                </a:solidFill>
              </a:ln>
            </c:spPr>
          </c:marker>
          <c:cat>
            <c:strRef>
              <c:f>'Figure 3.11'!$B$29:$L$29</c:f>
              <c:strCache>
                <c:ptCount val="11"/>
                <c:pt idx="0">
                  <c:v>2004-05</c:v>
                </c:pt>
                <c:pt idx="1">
                  <c:v>2008-09</c:v>
                </c:pt>
                <c:pt idx="2">
                  <c:v>2009-10</c:v>
                </c:pt>
                <c:pt idx="3">
                  <c:v>2010-11</c:v>
                </c:pt>
                <c:pt idx="4">
                  <c:v>2011-12</c:v>
                </c:pt>
                <c:pt idx="5">
                  <c:v>2012-13</c:v>
                </c:pt>
                <c:pt idx="6">
                  <c:v>2013-14</c:v>
                </c:pt>
                <c:pt idx="7">
                  <c:v>2014-15</c:v>
                </c:pt>
                <c:pt idx="8">
                  <c:v>2015-16</c:v>
                </c:pt>
                <c:pt idx="9">
                  <c:v>2016-17</c:v>
                </c:pt>
                <c:pt idx="10">
                  <c:v>2017-18</c:v>
                </c:pt>
              </c:strCache>
            </c:strRef>
          </c:cat>
          <c:val>
            <c:numRef>
              <c:f>'Figure 3.11'!$B$36:$L$36</c:f>
              <c:numCache>
                <c:formatCode>0.0</c:formatCode>
                <c:ptCount val="11"/>
                <c:pt idx="0">
                  <c:v>6.512467</c:v>
                </c:pt>
                <c:pt idx="1">
                  <c:v>7.5524179999999994</c:v>
                </c:pt>
                <c:pt idx="2">
                  <c:v>8.0592439999999996</c:v>
                </c:pt>
                <c:pt idx="3">
                  <c:v>8.8160740000000004</c:v>
                </c:pt>
                <c:pt idx="4">
                  <c:v>8.8721769999999989</c:v>
                </c:pt>
                <c:pt idx="5">
                  <c:v>8.4375900000000001</c:v>
                </c:pt>
                <c:pt idx="6">
                  <c:v>9.0221870000000006</c:v>
                </c:pt>
                <c:pt idx="7">
                  <c:v>7.2370000000000001</c:v>
                </c:pt>
                <c:pt idx="8">
                  <c:v>7.7320000000000002</c:v>
                </c:pt>
                <c:pt idx="9">
                  <c:v>7.8541530000000002</c:v>
                </c:pt>
                <c:pt idx="10">
                  <c:v>8.5539799999999993</c:v>
                </c:pt>
              </c:numCache>
            </c:numRef>
          </c:val>
          <c:smooth val="0"/>
          <c:extLst xmlns:c16r2="http://schemas.microsoft.com/office/drawing/2015/06/chart">
            <c:ext xmlns:c16="http://schemas.microsoft.com/office/drawing/2014/chart" uri="{C3380CC4-5D6E-409C-BE32-E72D297353CC}">
              <c16:uniqueId val="{00000004-FF01-4167-B59B-9F432F0DCE69}"/>
            </c:ext>
          </c:extLst>
        </c:ser>
        <c:ser>
          <c:idx val="4"/>
          <c:order val="4"/>
          <c:tx>
            <c:strRef>
              <c:f>'Figure 3.11'!$A$37</c:f>
              <c:strCache>
                <c:ptCount val="1"/>
                <c:pt idx="0">
                  <c:v>Disability: Dyslexia</c:v>
                </c:pt>
              </c:strCache>
            </c:strRef>
          </c:tx>
          <c:spPr>
            <a:ln>
              <a:solidFill>
                <a:srgbClr val="4F81BD"/>
              </a:solidFill>
            </a:ln>
          </c:spPr>
          <c:marker>
            <c:symbol val="circle"/>
            <c:size val="5"/>
            <c:spPr>
              <a:solidFill>
                <a:srgbClr val="4F81BD"/>
              </a:solidFill>
              <a:ln>
                <a:solidFill>
                  <a:srgbClr val="4F81BD"/>
                </a:solidFill>
              </a:ln>
            </c:spPr>
          </c:marker>
          <c:cat>
            <c:strRef>
              <c:f>'Figure 3.11'!$B$29:$L$29</c:f>
              <c:strCache>
                <c:ptCount val="11"/>
                <c:pt idx="0">
                  <c:v>2004-05</c:v>
                </c:pt>
                <c:pt idx="1">
                  <c:v>2008-09</c:v>
                </c:pt>
                <c:pt idx="2">
                  <c:v>2009-10</c:v>
                </c:pt>
                <c:pt idx="3">
                  <c:v>2010-11</c:v>
                </c:pt>
                <c:pt idx="4">
                  <c:v>2011-12</c:v>
                </c:pt>
                <c:pt idx="5">
                  <c:v>2012-13</c:v>
                </c:pt>
                <c:pt idx="6">
                  <c:v>2013-14</c:v>
                </c:pt>
                <c:pt idx="7">
                  <c:v>2014-15</c:v>
                </c:pt>
                <c:pt idx="8">
                  <c:v>2015-16</c:v>
                </c:pt>
                <c:pt idx="9">
                  <c:v>2016-17</c:v>
                </c:pt>
                <c:pt idx="10">
                  <c:v>2017-18</c:v>
                </c:pt>
              </c:strCache>
            </c:strRef>
          </c:cat>
          <c:val>
            <c:numRef>
              <c:f>'Figure 3.11'!$B$37:$L$37</c:f>
              <c:numCache>
                <c:formatCode>0.0</c:formatCode>
                <c:ptCount val="11"/>
                <c:pt idx="0">
                  <c:v>3.7268029999999999</c:v>
                </c:pt>
                <c:pt idx="1">
                  <c:v>3.8714309999999998</c:v>
                </c:pt>
                <c:pt idx="2">
                  <c:v>4.3732259999999998</c:v>
                </c:pt>
                <c:pt idx="3">
                  <c:v>4.4850379999999994</c:v>
                </c:pt>
                <c:pt idx="4">
                  <c:v>4.4667889999999995</c:v>
                </c:pt>
                <c:pt idx="5">
                  <c:v>3.8035880000000004</c:v>
                </c:pt>
                <c:pt idx="6">
                  <c:v>3.9620739999999999</c:v>
                </c:pt>
                <c:pt idx="7">
                  <c:v>3.2229999999999999</c:v>
                </c:pt>
                <c:pt idx="8">
                  <c:v>3.07</c:v>
                </c:pt>
                <c:pt idx="9">
                  <c:v>3.2304469999999998</c:v>
                </c:pt>
                <c:pt idx="10">
                  <c:v>3.2583579999999999</c:v>
                </c:pt>
              </c:numCache>
            </c:numRef>
          </c:val>
          <c:smooth val="0"/>
          <c:extLst xmlns:c16r2="http://schemas.microsoft.com/office/drawing/2015/06/chart">
            <c:ext xmlns:c16="http://schemas.microsoft.com/office/drawing/2014/chart" uri="{C3380CC4-5D6E-409C-BE32-E72D297353CC}">
              <c16:uniqueId val="{00000005-FF01-4167-B59B-9F432F0DCE69}"/>
            </c:ext>
          </c:extLst>
        </c:ser>
        <c:ser>
          <c:idx val="5"/>
          <c:order val="5"/>
          <c:tx>
            <c:strRef>
              <c:f>'Figure 3.11'!$A$38</c:f>
              <c:strCache>
                <c:ptCount val="1"/>
                <c:pt idx="0">
                  <c:v>Disability: Any other</c:v>
                </c:pt>
              </c:strCache>
            </c:strRef>
          </c:tx>
          <c:spPr>
            <a:ln>
              <a:solidFill>
                <a:srgbClr val="008080"/>
              </a:solidFill>
            </a:ln>
          </c:spPr>
          <c:marker>
            <c:symbol val="triangle"/>
            <c:size val="5"/>
            <c:spPr>
              <a:solidFill>
                <a:srgbClr val="008080"/>
              </a:solidFill>
              <a:ln>
                <a:solidFill>
                  <a:srgbClr val="008080"/>
                </a:solidFill>
              </a:ln>
            </c:spPr>
          </c:marker>
          <c:cat>
            <c:strRef>
              <c:f>'Figure 3.11'!$B$29:$L$29</c:f>
              <c:strCache>
                <c:ptCount val="11"/>
                <c:pt idx="0">
                  <c:v>2004-05</c:v>
                </c:pt>
                <c:pt idx="1">
                  <c:v>2008-09</c:v>
                </c:pt>
                <c:pt idx="2">
                  <c:v>2009-10</c:v>
                </c:pt>
                <c:pt idx="3">
                  <c:v>2010-11</c:v>
                </c:pt>
                <c:pt idx="4">
                  <c:v>2011-12</c:v>
                </c:pt>
                <c:pt idx="5">
                  <c:v>2012-13</c:v>
                </c:pt>
                <c:pt idx="6">
                  <c:v>2013-14</c:v>
                </c:pt>
                <c:pt idx="7">
                  <c:v>2014-15</c:v>
                </c:pt>
                <c:pt idx="8">
                  <c:v>2015-16</c:v>
                </c:pt>
                <c:pt idx="9">
                  <c:v>2016-17</c:v>
                </c:pt>
                <c:pt idx="10">
                  <c:v>2017-18</c:v>
                </c:pt>
              </c:strCache>
            </c:strRef>
          </c:cat>
          <c:val>
            <c:numRef>
              <c:f>'Figure 3.11'!$B$38:$L$38</c:f>
              <c:numCache>
                <c:formatCode>0.0</c:formatCode>
                <c:ptCount val="11"/>
                <c:pt idx="0">
                  <c:v>2.7856649999999998</c:v>
                </c:pt>
                <c:pt idx="1">
                  <c:v>3.6809880000000001</c:v>
                </c:pt>
                <c:pt idx="2">
                  <c:v>3.6860199999999996</c:v>
                </c:pt>
                <c:pt idx="3">
                  <c:v>4.3310360000000001</c:v>
                </c:pt>
                <c:pt idx="4">
                  <c:v>4.4053880000000003</c:v>
                </c:pt>
                <c:pt idx="5">
                  <c:v>4.6340019999999997</c:v>
                </c:pt>
                <c:pt idx="6">
                  <c:v>5.0601140000000004</c:v>
                </c:pt>
                <c:pt idx="7">
                  <c:v>4.0140000000000002</c:v>
                </c:pt>
                <c:pt idx="8">
                  <c:v>4.6620000000000008</c:v>
                </c:pt>
                <c:pt idx="9">
                  <c:v>4.6237060000000003</c:v>
                </c:pt>
                <c:pt idx="10">
                  <c:v>5.2956219999999998</c:v>
                </c:pt>
              </c:numCache>
            </c:numRef>
          </c:val>
          <c:smooth val="0"/>
          <c:extLst xmlns:c16r2="http://schemas.microsoft.com/office/drawing/2015/06/chart">
            <c:ext xmlns:c16="http://schemas.microsoft.com/office/drawing/2014/chart" uri="{C3380CC4-5D6E-409C-BE32-E72D297353CC}">
              <c16:uniqueId val="{00000006-FF01-4167-B59B-9F432F0DCE69}"/>
            </c:ext>
          </c:extLst>
        </c:ser>
        <c:dLbls>
          <c:showLegendKey val="0"/>
          <c:showVal val="0"/>
          <c:showCatName val="0"/>
          <c:showSerName val="0"/>
          <c:showPercent val="0"/>
          <c:showBubbleSize val="0"/>
        </c:dLbls>
        <c:marker val="1"/>
        <c:smooth val="0"/>
        <c:axId val="186878976"/>
        <c:axId val="186884864"/>
      </c:lineChart>
      <c:catAx>
        <c:axId val="186862592"/>
        <c:scaling>
          <c:orientation val="minMax"/>
        </c:scaling>
        <c:delete val="0"/>
        <c:axPos val="b"/>
        <c:numFmt formatCode="General" sourceLinked="1"/>
        <c:majorTickMark val="out"/>
        <c:minorTickMark val="none"/>
        <c:tickLblPos val="nextTo"/>
        <c:txPr>
          <a:bodyPr/>
          <a:lstStyle/>
          <a:p>
            <a:pPr>
              <a:defRPr sz="1200"/>
            </a:pPr>
            <a:endParaRPr lang="en-US"/>
          </a:p>
        </c:txPr>
        <c:crossAx val="186877056"/>
        <c:crosses val="autoZero"/>
        <c:auto val="1"/>
        <c:lblAlgn val="ctr"/>
        <c:lblOffset val="100"/>
        <c:noMultiLvlLbl val="0"/>
      </c:catAx>
      <c:valAx>
        <c:axId val="186877056"/>
        <c:scaling>
          <c:orientation val="minMax"/>
        </c:scaling>
        <c:delete val="0"/>
        <c:axPos val="l"/>
        <c:majorGridlines>
          <c:spPr>
            <a:ln>
              <a:solidFill>
                <a:schemeClr val="bg1">
                  <a:lumMod val="95000"/>
                </a:schemeClr>
              </a:solidFill>
            </a:ln>
          </c:spPr>
        </c:majorGridlines>
        <c:title>
          <c:tx>
            <c:strRef>
              <c:f>'Figure 3.11'!$A$30</c:f>
              <c:strCache>
                <c:ptCount val="1"/>
                <c:pt idx="0">
                  <c:v>Number of Students</c:v>
                </c:pt>
              </c:strCache>
            </c:strRef>
          </c:tx>
          <c:overlay val="0"/>
          <c:txPr>
            <a:bodyPr rot="-5400000" vert="horz"/>
            <a:lstStyle/>
            <a:p>
              <a:pPr>
                <a:defRPr sz="1200"/>
              </a:pPr>
              <a:endParaRPr lang="en-US"/>
            </a:p>
          </c:txPr>
        </c:title>
        <c:numFmt formatCode="#,##0" sourceLinked="1"/>
        <c:majorTickMark val="out"/>
        <c:minorTickMark val="none"/>
        <c:tickLblPos val="nextTo"/>
        <c:txPr>
          <a:bodyPr/>
          <a:lstStyle/>
          <a:p>
            <a:pPr>
              <a:defRPr sz="1200"/>
            </a:pPr>
            <a:endParaRPr lang="en-US"/>
          </a:p>
        </c:txPr>
        <c:crossAx val="186862592"/>
        <c:crosses val="autoZero"/>
        <c:crossBetween val="between"/>
      </c:valAx>
      <c:catAx>
        <c:axId val="186878976"/>
        <c:scaling>
          <c:orientation val="minMax"/>
        </c:scaling>
        <c:delete val="1"/>
        <c:axPos val="b"/>
        <c:numFmt formatCode="General" sourceLinked="1"/>
        <c:majorTickMark val="out"/>
        <c:minorTickMark val="none"/>
        <c:tickLblPos val="nextTo"/>
        <c:crossAx val="186884864"/>
        <c:crosses val="autoZero"/>
        <c:auto val="1"/>
        <c:lblAlgn val="ctr"/>
        <c:lblOffset val="100"/>
        <c:noMultiLvlLbl val="0"/>
      </c:catAx>
      <c:valAx>
        <c:axId val="186884864"/>
        <c:scaling>
          <c:orientation val="minMax"/>
        </c:scaling>
        <c:delete val="0"/>
        <c:axPos val="r"/>
        <c:title>
          <c:tx>
            <c:strRef>
              <c:f>'Figure 3.11'!$A$35</c:f>
              <c:strCache>
                <c:ptCount val="1"/>
                <c:pt idx="0">
                  <c:v>Amount £ million</c:v>
                </c:pt>
              </c:strCache>
            </c:strRef>
          </c:tx>
          <c:overlay val="0"/>
          <c:txPr>
            <a:bodyPr rot="-5400000" vert="horz"/>
            <a:lstStyle/>
            <a:p>
              <a:pPr>
                <a:defRPr sz="1200"/>
              </a:pPr>
              <a:endParaRPr lang="en-US"/>
            </a:p>
          </c:txPr>
        </c:title>
        <c:numFmt formatCode="0" sourceLinked="0"/>
        <c:majorTickMark val="out"/>
        <c:minorTickMark val="none"/>
        <c:tickLblPos val="nextTo"/>
        <c:txPr>
          <a:bodyPr/>
          <a:lstStyle/>
          <a:p>
            <a:pPr>
              <a:defRPr sz="1200"/>
            </a:pPr>
            <a:endParaRPr lang="en-US"/>
          </a:p>
        </c:txPr>
        <c:crossAx val="186878976"/>
        <c:crosses val="max"/>
        <c:crossBetween val="between"/>
      </c:valAx>
    </c:plotArea>
    <c:legend>
      <c:legendPos val="b"/>
      <c:legendEntry>
        <c:idx val="0"/>
        <c:txPr>
          <a:bodyPr/>
          <a:lstStyle/>
          <a:p>
            <a:pPr>
              <a:defRPr sz="1200">
                <a:solidFill>
                  <a:sysClr val="windowText" lastClr="000000"/>
                </a:solidFill>
              </a:defRPr>
            </a:pPr>
            <a:endParaRPr lang="en-US"/>
          </a:p>
        </c:txPr>
      </c:legendEntry>
      <c:legendEntry>
        <c:idx val="1"/>
        <c:txPr>
          <a:bodyPr/>
          <a:lstStyle/>
          <a:p>
            <a:pPr>
              <a:defRPr sz="1200">
                <a:solidFill>
                  <a:sysClr val="windowText" lastClr="000000"/>
                </a:solidFill>
              </a:defRPr>
            </a:pPr>
            <a:endParaRPr lang="en-US"/>
          </a:p>
        </c:txPr>
      </c:legendEntry>
      <c:legendEntry>
        <c:idx val="2"/>
        <c:txPr>
          <a:bodyPr/>
          <a:lstStyle/>
          <a:p>
            <a:pPr>
              <a:defRPr sz="1200">
                <a:solidFill>
                  <a:sysClr val="windowText" lastClr="000000"/>
                </a:solidFill>
              </a:defRPr>
            </a:pPr>
            <a:endParaRPr lang="en-US"/>
          </a:p>
        </c:txPr>
      </c:legendEntry>
      <c:legendEntry>
        <c:idx val="3"/>
        <c:txPr>
          <a:bodyPr/>
          <a:lstStyle/>
          <a:p>
            <a:pPr>
              <a:defRPr sz="1200">
                <a:solidFill>
                  <a:schemeClr val="bg1"/>
                </a:solidFill>
              </a:defRPr>
            </a:pPr>
            <a:endParaRPr lang="en-US"/>
          </a:p>
        </c:txPr>
      </c:legendEntry>
      <c:legendEntry>
        <c:idx val="4"/>
        <c:txPr>
          <a:bodyPr/>
          <a:lstStyle/>
          <a:p>
            <a:pPr>
              <a:defRPr sz="1200">
                <a:solidFill>
                  <a:schemeClr val="bg1"/>
                </a:solidFill>
              </a:defRPr>
            </a:pPr>
            <a:endParaRPr lang="en-US"/>
          </a:p>
        </c:txPr>
      </c:legendEntry>
      <c:legendEntry>
        <c:idx val="5"/>
        <c:txPr>
          <a:bodyPr/>
          <a:lstStyle/>
          <a:p>
            <a:pPr>
              <a:defRPr sz="1200">
                <a:solidFill>
                  <a:schemeClr val="bg1"/>
                </a:solidFill>
              </a:defRPr>
            </a:pPr>
            <a:endParaRPr lang="en-US"/>
          </a:p>
        </c:txPr>
      </c:legendEntry>
      <c:layout>
        <c:manualLayout>
          <c:xMode val="edge"/>
          <c:yMode val="edge"/>
          <c:x val="0.24610498687664042"/>
          <c:y val="0.85954602896860122"/>
          <c:w val="0.7281602508019831"/>
          <c:h val="0.12193545251288029"/>
        </c:manualLayout>
      </c:layout>
      <c:overlay val="0"/>
      <c:txPr>
        <a:bodyPr/>
        <a:lstStyle/>
        <a:p>
          <a:pPr>
            <a:defRPr sz="1200"/>
          </a:pPr>
          <a:endParaRPr lang="en-US"/>
        </a:p>
      </c:txPr>
    </c:legend>
    <c:plotVisOnly val="0"/>
    <c:dispBlanksAs val="gap"/>
    <c:showDLblsOverMax val="0"/>
  </c:chart>
  <c:spPr>
    <a:ln>
      <a:noFill/>
    </a:ln>
  </c:spPr>
  <c:printSettings>
    <c:headerFooter/>
    <c:pageMargins b="0.75" l="0.7" r="0.7" t="0.75" header="0.3" footer="0.3"/>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829337999416741"/>
          <c:y val="3.8040244969378828E-2"/>
          <c:w val="0.72341324001166518"/>
          <c:h val="0.67716389617964423"/>
        </c:manualLayout>
      </c:layout>
      <c:barChart>
        <c:barDir val="col"/>
        <c:grouping val="clustered"/>
        <c:varyColors val="0"/>
        <c:ser>
          <c:idx val="3"/>
          <c:order val="0"/>
          <c:tx>
            <c:strRef>
              <c:f>'Figure 3.12'!$A$31</c:f>
              <c:strCache>
                <c:ptCount val="1"/>
                <c:pt idx="0">
                  <c:v>Bursary and grants</c:v>
                </c:pt>
              </c:strCache>
            </c:strRef>
          </c:tx>
          <c:spPr>
            <a:solidFill>
              <a:srgbClr val="002060">
                <a:alpha val="30000"/>
              </a:srgbClr>
            </a:solidFill>
            <a:ln>
              <a:noFill/>
            </a:ln>
          </c:spPr>
          <c:invertIfNegative val="0"/>
          <c:cat>
            <c:numRef>
              <c:f>'Figure 3.12'!$B$29:$F$29</c:f>
              <c:numCache>
                <c:formatCode>General</c:formatCode>
                <c:ptCount val="5"/>
                <c:pt idx="0">
                  <c:v>1</c:v>
                </c:pt>
                <c:pt idx="1">
                  <c:v>2</c:v>
                </c:pt>
                <c:pt idx="2">
                  <c:v>3</c:v>
                </c:pt>
                <c:pt idx="3">
                  <c:v>4</c:v>
                </c:pt>
                <c:pt idx="4">
                  <c:v>5</c:v>
                </c:pt>
              </c:numCache>
            </c:numRef>
          </c:cat>
          <c:val>
            <c:numRef>
              <c:f>'Figure 3.12'!$B$31:$F$31</c:f>
              <c:numCache>
                <c:formatCode>#,##0</c:formatCode>
                <c:ptCount val="5"/>
                <c:pt idx="0">
                  <c:v>14465</c:v>
                </c:pt>
                <c:pt idx="1">
                  <c:v>11685</c:v>
                </c:pt>
                <c:pt idx="2">
                  <c:v>10115</c:v>
                </c:pt>
                <c:pt idx="3">
                  <c:v>8900</c:v>
                </c:pt>
                <c:pt idx="4">
                  <c:v>8045</c:v>
                </c:pt>
              </c:numCache>
            </c:numRef>
          </c:val>
          <c:extLst xmlns:c16r2="http://schemas.microsoft.com/office/drawing/2015/06/chart">
            <c:ext xmlns:c16="http://schemas.microsoft.com/office/drawing/2014/chart" uri="{C3380CC4-5D6E-409C-BE32-E72D297353CC}">
              <c16:uniqueId val="{00000000-2AD4-4F1F-8C80-115233E68372}"/>
            </c:ext>
          </c:extLst>
        </c:ser>
        <c:ser>
          <c:idx val="0"/>
          <c:order val="1"/>
          <c:tx>
            <c:strRef>
              <c:f>'Figure 3.12'!$A$32</c:f>
              <c:strCache>
                <c:ptCount val="1"/>
                <c:pt idx="0">
                  <c:v>Fees and fee loans</c:v>
                </c:pt>
              </c:strCache>
            </c:strRef>
          </c:tx>
          <c:spPr>
            <a:solidFill>
              <a:srgbClr val="4F81BD">
                <a:alpha val="30000"/>
              </a:srgbClr>
            </a:solidFill>
            <a:ln>
              <a:noFill/>
            </a:ln>
          </c:spPr>
          <c:invertIfNegative val="0"/>
          <c:dPt>
            <c:idx val="6"/>
            <c:invertIfNegative val="0"/>
            <c:bubble3D val="0"/>
            <c:extLst xmlns:c16r2="http://schemas.microsoft.com/office/drawing/2015/06/chart">
              <c:ext xmlns:c16="http://schemas.microsoft.com/office/drawing/2014/chart" uri="{C3380CC4-5D6E-409C-BE32-E72D297353CC}">
                <c16:uniqueId val="{00000001-2AD4-4F1F-8C80-115233E68372}"/>
              </c:ext>
            </c:extLst>
          </c:dPt>
          <c:cat>
            <c:numRef>
              <c:f>'Figure 3.12'!$B$29:$F$29</c:f>
              <c:numCache>
                <c:formatCode>General</c:formatCode>
                <c:ptCount val="5"/>
                <c:pt idx="0">
                  <c:v>1</c:v>
                </c:pt>
                <c:pt idx="1">
                  <c:v>2</c:v>
                </c:pt>
                <c:pt idx="2">
                  <c:v>3</c:v>
                </c:pt>
                <c:pt idx="3">
                  <c:v>4</c:v>
                </c:pt>
                <c:pt idx="4">
                  <c:v>5</c:v>
                </c:pt>
              </c:numCache>
            </c:numRef>
          </c:cat>
          <c:val>
            <c:numRef>
              <c:f>'Figure 3.12'!$B$32:$F$32</c:f>
              <c:numCache>
                <c:formatCode>#,##0</c:formatCode>
                <c:ptCount val="5"/>
                <c:pt idx="0">
                  <c:v>19820</c:v>
                </c:pt>
                <c:pt idx="1">
                  <c:v>20620</c:v>
                </c:pt>
                <c:pt idx="2">
                  <c:v>23810</c:v>
                </c:pt>
                <c:pt idx="3">
                  <c:v>28050</c:v>
                </c:pt>
                <c:pt idx="4">
                  <c:v>35295</c:v>
                </c:pt>
              </c:numCache>
            </c:numRef>
          </c:val>
          <c:extLst xmlns:c16r2="http://schemas.microsoft.com/office/drawing/2015/06/chart">
            <c:ext xmlns:c16="http://schemas.microsoft.com/office/drawing/2014/chart" uri="{C3380CC4-5D6E-409C-BE32-E72D297353CC}">
              <c16:uniqueId val="{00000002-2AD4-4F1F-8C80-115233E68372}"/>
            </c:ext>
          </c:extLst>
        </c:ser>
        <c:ser>
          <c:idx val="2"/>
          <c:order val="2"/>
          <c:tx>
            <c:strRef>
              <c:f>'Figure 3.12'!$A$33</c:f>
              <c:strCache>
                <c:ptCount val="1"/>
                <c:pt idx="0">
                  <c:v>Loans</c:v>
                </c:pt>
              </c:strCache>
            </c:strRef>
          </c:tx>
          <c:spPr>
            <a:solidFill>
              <a:srgbClr val="008080">
                <a:alpha val="30000"/>
              </a:srgbClr>
            </a:solidFill>
            <a:ln>
              <a:noFill/>
            </a:ln>
          </c:spPr>
          <c:invertIfNegative val="0"/>
          <c:cat>
            <c:numRef>
              <c:f>'Figure 3.12'!$B$29:$F$29</c:f>
              <c:numCache>
                <c:formatCode>General</c:formatCode>
                <c:ptCount val="5"/>
                <c:pt idx="0">
                  <c:v>1</c:v>
                </c:pt>
                <c:pt idx="1">
                  <c:v>2</c:v>
                </c:pt>
                <c:pt idx="2">
                  <c:v>3</c:v>
                </c:pt>
                <c:pt idx="3">
                  <c:v>4</c:v>
                </c:pt>
                <c:pt idx="4">
                  <c:v>5</c:v>
                </c:pt>
              </c:numCache>
            </c:numRef>
          </c:cat>
          <c:val>
            <c:numRef>
              <c:f>'Figure 3.12'!$B$33:$F$33</c:f>
              <c:numCache>
                <c:formatCode>#,##0</c:formatCode>
                <c:ptCount val="5"/>
                <c:pt idx="0">
                  <c:v>16750</c:v>
                </c:pt>
                <c:pt idx="1">
                  <c:v>16835</c:v>
                </c:pt>
                <c:pt idx="2">
                  <c:v>18780</c:v>
                </c:pt>
                <c:pt idx="3">
                  <c:v>21250</c:v>
                </c:pt>
                <c:pt idx="4">
                  <c:v>25665</c:v>
                </c:pt>
              </c:numCache>
            </c:numRef>
          </c:val>
          <c:extLst xmlns:c16r2="http://schemas.microsoft.com/office/drawing/2015/06/chart">
            <c:ext xmlns:c16="http://schemas.microsoft.com/office/drawing/2014/chart" uri="{C3380CC4-5D6E-409C-BE32-E72D297353CC}">
              <c16:uniqueId val="{00000003-2AD4-4F1F-8C80-115233E68372}"/>
            </c:ext>
          </c:extLst>
        </c:ser>
        <c:dLbls>
          <c:showLegendKey val="0"/>
          <c:showVal val="0"/>
          <c:showCatName val="0"/>
          <c:showSerName val="0"/>
          <c:showPercent val="0"/>
          <c:showBubbleSize val="0"/>
        </c:dLbls>
        <c:gapWidth val="150"/>
        <c:axId val="186646528"/>
        <c:axId val="186648448"/>
      </c:barChart>
      <c:lineChart>
        <c:grouping val="standard"/>
        <c:varyColors val="0"/>
        <c:ser>
          <c:idx val="1"/>
          <c:order val="3"/>
          <c:tx>
            <c:strRef>
              <c:f>'Figure 3.12'!$A$36</c:f>
              <c:strCache>
                <c:ptCount val="1"/>
                <c:pt idx="0">
                  <c:v>Bursary and grants</c:v>
                </c:pt>
              </c:strCache>
            </c:strRef>
          </c:tx>
          <c:spPr>
            <a:ln>
              <a:solidFill>
                <a:srgbClr val="002060"/>
              </a:solidFill>
            </a:ln>
          </c:spPr>
          <c:marker>
            <c:symbol val="square"/>
            <c:size val="5"/>
            <c:spPr>
              <a:solidFill>
                <a:srgbClr val="002060"/>
              </a:solidFill>
              <a:ln>
                <a:solidFill>
                  <a:srgbClr val="002060"/>
                </a:solidFill>
              </a:ln>
            </c:spPr>
          </c:marker>
          <c:cat>
            <c:numRef>
              <c:f>'Figure 3.12'!$B$29:$F$29</c:f>
              <c:numCache>
                <c:formatCode>General</c:formatCode>
                <c:ptCount val="5"/>
                <c:pt idx="0">
                  <c:v>1</c:v>
                </c:pt>
                <c:pt idx="1">
                  <c:v>2</c:v>
                </c:pt>
                <c:pt idx="2">
                  <c:v>3</c:v>
                </c:pt>
                <c:pt idx="3">
                  <c:v>4</c:v>
                </c:pt>
                <c:pt idx="4">
                  <c:v>5</c:v>
                </c:pt>
              </c:numCache>
            </c:numRef>
          </c:cat>
          <c:val>
            <c:numRef>
              <c:f>'Figure 3.12'!$B$36:$F$36</c:f>
              <c:numCache>
                <c:formatCode>#,##0</c:formatCode>
                <c:ptCount val="5"/>
                <c:pt idx="0">
                  <c:v>1480</c:v>
                </c:pt>
                <c:pt idx="1">
                  <c:v>1430</c:v>
                </c:pt>
                <c:pt idx="2">
                  <c:v>1400</c:v>
                </c:pt>
                <c:pt idx="3">
                  <c:v>1390</c:v>
                </c:pt>
                <c:pt idx="4">
                  <c:v>1370</c:v>
                </c:pt>
              </c:numCache>
            </c:numRef>
          </c:val>
          <c:smooth val="0"/>
          <c:extLst xmlns:c16r2="http://schemas.microsoft.com/office/drawing/2015/06/chart">
            <c:ext xmlns:c16="http://schemas.microsoft.com/office/drawing/2014/chart" uri="{C3380CC4-5D6E-409C-BE32-E72D297353CC}">
              <c16:uniqueId val="{00000004-2AD4-4F1F-8C80-115233E68372}"/>
            </c:ext>
          </c:extLst>
        </c:ser>
        <c:ser>
          <c:idx val="4"/>
          <c:order val="4"/>
          <c:tx>
            <c:strRef>
              <c:f>'Figure 3.12'!$A$37</c:f>
              <c:strCache>
                <c:ptCount val="1"/>
                <c:pt idx="0">
                  <c:v>Fees and fee loans</c:v>
                </c:pt>
              </c:strCache>
            </c:strRef>
          </c:tx>
          <c:spPr>
            <a:ln>
              <a:solidFill>
                <a:srgbClr val="4F81BD"/>
              </a:solidFill>
            </a:ln>
          </c:spPr>
          <c:marker>
            <c:symbol val="circle"/>
            <c:size val="5"/>
            <c:spPr>
              <a:solidFill>
                <a:srgbClr val="4F81BD"/>
              </a:solidFill>
              <a:ln>
                <a:solidFill>
                  <a:srgbClr val="4F81BD"/>
                </a:solidFill>
              </a:ln>
            </c:spPr>
          </c:marker>
          <c:cat>
            <c:numRef>
              <c:f>'Figure 3.12'!$B$29:$F$29</c:f>
              <c:numCache>
                <c:formatCode>General</c:formatCode>
                <c:ptCount val="5"/>
                <c:pt idx="0">
                  <c:v>1</c:v>
                </c:pt>
                <c:pt idx="1">
                  <c:v>2</c:v>
                </c:pt>
                <c:pt idx="2">
                  <c:v>3</c:v>
                </c:pt>
                <c:pt idx="3">
                  <c:v>4</c:v>
                </c:pt>
                <c:pt idx="4">
                  <c:v>5</c:v>
                </c:pt>
              </c:numCache>
            </c:numRef>
          </c:cat>
          <c:val>
            <c:numRef>
              <c:f>'Figure 3.12'!$B$37:$F$37</c:f>
              <c:numCache>
                <c:formatCode>#,##0</c:formatCode>
                <c:ptCount val="5"/>
                <c:pt idx="0">
                  <c:v>1770</c:v>
                </c:pt>
                <c:pt idx="1">
                  <c:v>1840</c:v>
                </c:pt>
                <c:pt idx="2">
                  <c:v>1950</c:v>
                </c:pt>
                <c:pt idx="3">
                  <c:v>2020</c:v>
                </c:pt>
                <c:pt idx="4">
                  <c:v>2110</c:v>
                </c:pt>
              </c:numCache>
            </c:numRef>
          </c:val>
          <c:smooth val="0"/>
          <c:extLst xmlns:c16r2="http://schemas.microsoft.com/office/drawing/2015/06/chart">
            <c:ext xmlns:c16="http://schemas.microsoft.com/office/drawing/2014/chart" uri="{C3380CC4-5D6E-409C-BE32-E72D297353CC}">
              <c16:uniqueId val="{00000005-2AD4-4F1F-8C80-115233E68372}"/>
            </c:ext>
          </c:extLst>
        </c:ser>
        <c:ser>
          <c:idx val="5"/>
          <c:order val="5"/>
          <c:tx>
            <c:strRef>
              <c:f>'Figure 3.12'!$A$38</c:f>
              <c:strCache>
                <c:ptCount val="1"/>
                <c:pt idx="0">
                  <c:v>Loans</c:v>
                </c:pt>
              </c:strCache>
            </c:strRef>
          </c:tx>
          <c:spPr>
            <a:ln>
              <a:solidFill>
                <a:srgbClr val="008080"/>
              </a:solidFill>
            </a:ln>
          </c:spPr>
          <c:marker>
            <c:symbol val="triangle"/>
            <c:size val="5"/>
            <c:spPr>
              <a:solidFill>
                <a:srgbClr val="008080"/>
              </a:solidFill>
              <a:ln>
                <a:solidFill>
                  <a:srgbClr val="008080"/>
                </a:solidFill>
              </a:ln>
            </c:spPr>
          </c:marker>
          <c:cat>
            <c:numRef>
              <c:f>'Figure 3.12'!$B$29:$F$29</c:f>
              <c:numCache>
                <c:formatCode>General</c:formatCode>
                <c:ptCount val="5"/>
                <c:pt idx="0">
                  <c:v>1</c:v>
                </c:pt>
                <c:pt idx="1">
                  <c:v>2</c:v>
                </c:pt>
                <c:pt idx="2">
                  <c:v>3</c:v>
                </c:pt>
                <c:pt idx="3">
                  <c:v>4</c:v>
                </c:pt>
                <c:pt idx="4">
                  <c:v>5</c:v>
                </c:pt>
              </c:numCache>
            </c:numRef>
          </c:cat>
          <c:val>
            <c:numRef>
              <c:f>'Figure 3.12'!$B$38:$F$38</c:f>
              <c:numCache>
                <c:formatCode>#,##0</c:formatCode>
                <c:ptCount val="5"/>
                <c:pt idx="0">
                  <c:v>5780</c:v>
                </c:pt>
                <c:pt idx="1">
                  <c:v>5530</c:v>
                </c:pt>
                <c:pt idx="2">
                  <c:v>5310</c:v>
                </c:pt>
                <c:pt idx="3">
                  <c:v>5110</c:v>
                </c:pt>
                <c:pt idx="4">
                  <c:v>4940</c:v>
                </c:pt>
              </c:numCache>
            </c:numRef>
          </c:val>
          <c:smooth val="0"/>
          <c:extLst xmlns:c16r2="http://schemas.microsoft.com/office/drawing/2015/06/chart">
            <c:ext xmlns:c16="http://schemas.microsoft.com/office/drawing/2014/chart" uri="{C3380CC4-5D6E-409C-BE32-E72D297353CC}">
              <c16:uniqueId val="{00000006-2AD4-4F1F-8C80-115233E68372}"/>
            </c:ext>
          </c:extLst>
        </c:ser>
        <c:dLbls>
          <c:showLegendKey val="0"/>
          <c:showVal val="0"/>
          <c:showCatName val="0"/>
          <c:showSerName val="0"/>
          <c:showPercent val="0"/>
          <c:showBubbleSize val="0"/>
        </c:dLbls>
        <c:marker val="1"/>
        <c:smooth val="0"/>
        <c:axId val="186654720"/>
        <c:axId val="186656256"/>
      </c:lineChart>
      <c:catAx>
        <c:axId val="186646528"/>
        <c:scaling>
          <c:orientation val="minMax"/>
        </c:scaling>
        <c:delete val="0"/>
        <c:axPos val="b"/>
        <c:numFmt formatCode="General" sourceLinked="1"/>
        <c:majorTickMark val="out"/>
        <c:minorTickMark val="none"/>
        <c:tickLblPos val="nextTo"/>
        <c:txPr>
          <a:bodyPr/>
          <a:lstStyle/>
          <a:p>
            <a:pPr>
              <a:defRPr sz="1200"/>
            </a:pPr>
            <a:endParaRPr lang="en-US"/>
          </a:p>
        </c:txPr>
        <c:crossAx val="186648448"/>
        <c:crosses val="autoZero"/>
        <c:auto val="1"/>
        <c:lblAlgn val="ctr"/>
        <c:lblOffset val="100"/>
        <c:noMultiLvlLbl val="0"/>
      </c:catAx>
      <c:valAx>
        <c:axId val="186648448"/>
        <c:scaling>
          <c:orientation val="minMax"/>
        </c:scaling>
        <c:delete val="0"/>
        <c:axPos val="l"/>
        <c:majorGridlines>
          <c:spPr>
            <a:ln>
              <a:solidFill>
                <a:schemeClr val="bg1">
                  <a:lumMod val="95000"/>
                </a:schemeClr>
              </a:solidFill>
            </a:ln>
          </c:spPr>
        </c:majorGridlines>
        <c:title>
          <c:tx>
            <c:strRef>
              <c:f>'Figure 3.12'!$A$30</c:f>
              <c:strCache>
                <c:ptCount val="1"/>
                <c:pt idx="0">
                  <c:v>Number of Students</c:v>
                </c:pt>
              </c:strCache>
            </c:strRef>
          </c:tx>
          <c:overlay val="0"/>
          <c:txPr>
            <a:bodyPr rot="-5400000" vert="horz"/>
            <a:lstStyle/>
            <a:p>
              <a:pPr>
                <a:defRPr sz="1200"/>
              </a:pPr>
              <a:endParaRPr lang="en-US"/>
            </a:p>
          </c:txPr>
        </c:title>
        <c:numFmt formatCode="#,##0" sourceLinked="1"/>
        <c:majorTickMark val="out"/>
        <c:minorTickMark val="none"/>
        <c:tickLblPos val="nextTo"/>
        <c:txPr>
          <a:bodyPr/>
          <a:lstStyle/>
          <a:p>
            <a:pPr>
              <a:defRPr sz="1200"/>
            </a:pPr>
            <a:endParaRPr lang="en-US"/>
          </a:p>
        </c:txPr>
        <c:crossAx val="186646528"/>
        <c:crosses val="autoZero"/>
        <c:crossBetween val="between"/>
      </c:valAx>
      <c:catAx>
        <c:axId val="186654720"/>
        <c:scaling>
          <c:orientation val="minMax"/>
        </c:scaling>
        <c:delete val="1"/>
        <c:axPos val="b"/>
        <c:numFmt formatCode="General" sourceLinked="1"/>
        <c:majorTickMark val="out"/>
        <c:minorTickMark val="none"/>
        <c:tickLblPos val="nextTo"/>
        <c:crossAx val="186656256"/>
        <c:crosses val="autoZero"/>
        <c:auto val="1"/>
        <c:lblAlgn val="ctr"/>
        <c:lblOffset val="100"/>
        <c:noMultiLvlLbl val="0"/>
      </c:catAx>
      <c:valAx>
        <c:axId val="186656256"/>
        <c:scaling>
          <c:orientation val="minMax"/>
        </c:scaling>
        <c:delete val="0"/>
        <c:axPos val="r"/>
        <c:title>
          <c:tx>
            <c:strRef>
              <c:f>'Figure 3.12'!$A$35</c:f>
              <c:strCache>
                <c:ptCount val="1"/>
                <c:pt idx="0">
                  <c:v>Average support £</c:v>
                </c:pt>
              </c:strCache>
            </c:strRef>
          </c:tx>
          <c:overlay val="0"/>
          <c:txPr>
            <a:bodyPr rot="-5400000" vert="horz"/>
            <a:lstStyle/>
            <a:p>
              <a:pPr>
                <a:defRPr sz="1200"/>
              </a:pPr>
              <a:endParaRPr lang="en-US"/>
            </a:p>
          </c:txPr>
        </c:title>
        <c:numFmt formatCode="&quot;£&quot;#,##0" sourceLinked="0"/>
        <c:majorTickMark val="out"/>
        <c:minorTickMark val="none"/>
        <c:tickLblPos val="nextTo"/>
        <c:txPr>
          <a:bodyPr/>
          <a:lstStyle/>
          <a:p>
            <a:pPr>
              <a:defRPr sz="1200"/>
            </a:pPr>
            <a:endParaRPr lang="en-US"/>
          </a:p>
        </c:txPr>
        <c:crossAx val="186654720"/>
        <c:crosses val="max"/>
        <c:crossBetween val="between"/>
      </c:valAx>
    </c:plotArea>
    <c:legend>
      <c:legendPos val="b"/>
      <c:legendEntry>
        <c:idx val="0"/>
        <c:txPr>
          <a:bodyPr/>
          <a:lstStyle/>
          <a:p>
            <a:pPr>
              <a:defRPr sz="1200">
                <a:solidFill>
                  <a:sysClr val="windowText" lastClr="000000"/>
                </a:solidFill>
              </a:defRPr>
            </a:pPr>
            <a:endParaRPr lang="en-US"/>
          </a:p>
        </c:txPr>
      </c:legendEntry>
      <c:legendEntry>
        <c:idx val="1"/>
        <c:txPr>
          <a:bodyPr/>
          <a:lstStyle/>
          <a:p>
            <a:pPr>
              <a:defRPr sz="1200">
                <a:solidFill>
                  <a:sysClr val="windowText" lastClr="000000"/>
                </a:solidFill>
              </a:defRPr>
            </a:pPr>
            <a:endParaRPr lang="en-US"/>
          </a:p>
        </c:txPr>
      </c:legendEntry>
      <c:legendEntry>
        <c:idx val="2"/>
        <c:txPr>
          <a:bodyPr/>
          <a:lstStyle/>
          <a:p>
            <a:pPr>
              <a:defRPr sz="1200">
                <a:solidFill>
                  <a:sysClr val="windowText" lastClr="000000"/>
                </a:solidFill>
              </a:defRPr>
            </a:pPr>
            <a:endParaRPr lang="en-US"/>
          </a:p>
        </c:txPr>
      </c:legendEntry>
      <c:legendEntry>
        <c:idx val="3"/>
        <c:txPr>
          <a:bodyPr/>
          <a:lstStyle/>
          <a:p>
            <a:pPr>
              <a:defRPr sz="1200">
                <a:solidFill>
                  <a:schemeClr val="bg1"/>
                </a:solidFill>
              </a:defRPr>
            </a:pPr>
            <a:endParaRPr lang="en-US"/>
          </a:p>
        </c:txPr>
      </c:legendEntry>
      <c:legendEntry>
        <c:idx val="4"/>
        <c:txPr>
          <a:bodyPr/>
          <a:lstStyle/>
          <a:p>
            <a:pPr>
              <a:defRPr sz="1200">
                <a:solidFill>
                  <a:schemeClr val="bg1"/>
                </a:solidFill>
              </a:defRPr>
            </a:pPr>
            <a:endParaRPr lang="en-US"/>
          </a:p>
        </c:txPr>
      </c:legendEntry>
      <c:legendEntry>
        <c:idx val="5"/>
        <c:txPr>
          <a:bodyPr/>
          <a:lstStyle/>
          <a:p>
            <a:pPr>
              <a:defRPr sz="1200">
                <a:solidFill>
                  <a:schemeClr val="bg1"/>
                </a:solidFill>
              </a:defRPr>
            </a:pPr>
            <a:endParaRPr lang="en-US"/>
          </a:p>
        </c:txPr>
      </c:legendEntry>
      <c:layout>
        <c:manualLayout>
          <c:xMode val="edge"/>
          <c:yMode val="edge"/>
          <c:x val="0.24610498687664042"/>
          <c:y val="0.85954602896860122"/>
          <c:w val="0.7281602508019831"/>
          <c:h val="0.12193545251288029"/>
        </c:manualLayout>
      </c:layout>
      <c:overlay val="0"/>
      <c:txPr>
        <a:bodyPr/>
        <a:lstStyle/>
        <a:p>
          <a:pPr>
            <a:defRPr sz="1200"/>
          </a:pPr>
          <a:endParaRPr lang="en-US"/>
        </a:p>
      </c:txPr>
    </c:legend>
    <c:plotVisOnly val="0"/>
    <c:dispBlanksAs val="gap"/>
    <c:showDLblsOverMax val="0"/>
  </c:chart>
  <c:spPr>
    <a:ln>
      <a:noFill/>
    </a:ln>
  </c:spPr>
  <c:printSettings>
    <c:headerFooter/>
    <c:pageMargins b="0.75" l="0.7" r="0.7" t="0.75" header="0.3" footer="0.3"/>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2462087157549472E-3"/>
          <c:y val="5.474962562195064E-2"/>
          <c:w val="0.78714026022782291"/>
          <c:h val="0.68811877927023823"/>
        </c:manualLayout>
      </c:layout>
      <c:ofPieChart>
        <c:ofPieType val="pie"/>
        <c:varyColors val="1"/>
        <c:ser>
          <c:idx val="0"/>
          <c:order val="0"/>
          <c:tx>
            <c:strRef>
              <c:f>'Figure 5.1'!$A$28</c:f>
              <c:strCache>
                <c:ptCount val="1"/>
                <c:pt idx="0">
                  <c:v>Total award payments</c:v>
                </c:pt>
              </c:strCache>
            </c:strRef>
          </c:tx>
          <c:dPt>
            <c:idx val="0"/>
            <c:bubble3D val="0"/>
            <c:spPr>
              <a:solidFill>
                <a:srgbClr val="002060"/>
              </a:solidFill>
            </c:spPr>
            <c:extLst xmlns:c16r2="http://schemas.microsoft.com/office/drawing/2015/06/chart">
              <c:ext xmlns:c16="http://schemas.microsoft.com/office/drawing/2014/chart" uri="{C3380CC4-5D6E-409C-BE32-E72D297353CC}">
                <c16:uniqueId val="{00000001-D1E5-47E3-9FBA-C8FE16AF25D8}"/>
              </c:ext>
            </c:extLst>
          </c:dPt>
          <c:dPt>
            <c:idx val="1"/>
            <c:bubble3D val="0"/>
            <c:spPr>
              <a:solidFill>
                <a:srgbClr val="9B9B9B"/>
              </a:solidFill>
            </c:spPr>
            <c:extLst xmlns:c16r2="http://schemas.microsoft.com/office/drawing/2015/06/chart">
              <c:ext xmlns:c16="http://schemas.microsoft.com/office/drawing/2014/chart" uri="{C3380CC4-5D6E-409C-BE32-E72D297353CC}">
                <c16:uniqueId val="{00000003-D1E5-47E3-9FBA-C8FE16AF25D8}"/>
              </c:ext>
            </c:extLst>
          </c:dPt>
          <c:dPt>
            <c:idx val="2"/>
            <c:bubble3D val="0"/>
            <c:spPr>
              <a:solidFill>
                <a:srgbClr val="646464"/>
              </a:solidFill>
            </c:spPr>
            <c:extLst xmlns:c16r2="http://schemas.microsoft.com/office/drawing/2015/06/chart">
              <c:ext xmlns:c16="http://schemas.microsoft.com/office/drawing/2014/chart" uri="{C3380CC4-5D6E-409C-BE32-E72D297353CC}">
                <c16:uniqueId val="{00000005-D1E5-47E3-9FBA-C8FE16AF25D8}"/>
              </c:ext>
            </c:extLst>
          </c:dPt>
          <c:dPt>
            <c:idx val="3"/>
            <c:bubble3D val="0"/>
            <c:spPr>
              <a:solidFill>
                <a:srgbClr val="008080"/>
              </a:solidFill>
            </c:spPr>
            <c:extLst xmlns:c16r2="http://schemas.microsoft.com/office/drawing/2015/06/chart">
              <c:ext xmlns:c16="http://schemas.microsoft.com/office/drawing/2014/chart" uri="{C3380CC4-5D6E-409C-BE32-E72D297353CC}">
                <c16:uniqueId val="{00000007-D1E5-47E3-9FBA-C8FE16AF25D8}"/>
              </c:ext>
            </c:extLst>
          </c:dPt>
          <c:dPt>
            <c:idx val="4"/>
            <c:bubble3D val="0"/>
            <c:spPr>
              <a:solidFill>
                <a:srgbClr val="81C9BB"/>
              </a:solidFill>
            </c:spPr>
            <c:extLst xmlns:c16r2="http://schemas.microsoft.com/office/drawing/2015/06/chart">
              <c:ext xmlns:c16="http://schemas.microsoft.com/office/drawing/2014/chart" uri="{C3380CC4-5D6E-409C-BE32-E72D297353CC}">
                <c16:uniqueId val="{00000009-D1E5-47E3-9FBA-C8FE16AF25D8}"/>
              </c:ext>
            </c:extLst>
          </c:dPt>
          <c:dPt>
            <c:idx val="5"/>
            <c:bubble3D val="0"/>
            <c:spPr>
              <a:solidFill>
                <a:srgbClr val="C4E6E0"/>
              </a:solidFill>
            </c:spPr>
            <c:extLst xmlns:c16r2="http://schemas.microsoft.com/office/drawing/2015/06/chart">
              <c:ext xmlns:c16="http://schemas.microsoft.com/office/drawing/2014/chart" uri="{C3380CC4-5D6E-409C-BE32-E72D297353CC}">
                <c16:uniqueId val="{0000000B-D1E5-47E3-9FBA-C8FE16AF25D8}"/>
              </c:ext>
            </c:extLst>
          </c:dPt>
          <c:dPt>
            <c:idx val="7"/>
            <c:bubble3D val="0"/>
            <c:explosion val="11"/>
            <c:spPr>
              <a:solidFill>
                <a:srgbClr val="4881BD"/>
              </a:solidFill>
            </c:spPr>
            <c:extLst xmlns:c16r2="http://schemas.microsoft.com/office/drawing/2015/06/chart">
              <c:ext xmlns:c16="http://schemas.microsoft.com/office/drawing/2014/chart" uri="{C3380CC4-5D6E-409C-BE32-E72D297353CC}">
                <c16:uniqueId val="{0000000D-D1E5-47E3-9FBA-C8FE16AF25D8}"/>
              </c:ext>
            </c:extLst>
          </c:dPt>
          <c:dPt>
            <c:idx val="8"/>
            <c:bubble3D val="0"/>
            <c:explosion val="11"/>
            <c:spPr>
              <a:solidFill>
                <a:srgbClr val="4F81BD"/>
              </a:solidFill>
            </c:spPr>
            <c:extLst xmlns:c16r2="http://schemas.microsoft.com/office/drawing/2015/06/chart">
              <c:ext xmlns:c16="http://schemas.microsoft.com/office/drawing/2014/chart" uri="{C3380CC4-5D6E-409C-BE32-E72D297353CC}">
                <c16:uniqueId val="{0000000F-D1E5-47E3-9FBA-C8FE16AF25D8}"/>
              </c:ext>
            </c:extLst>
          </c:dPt>
          <c:dLbls>
            <c:dLbl>
              <c:idx val="0"/>
              <c:spPr/>
              <c:txPr>
                <a:bodyPr/>
                <a:lstStyle/>
                <a:p>
                  <a:pPr>
                    <a:defRPr sz="1100">
                      <a:solidFill>
                        <a:schemeClr val="bg1"/>
                      </a:solidFill>
                    </a:defRPr>
                  </a:pPr>
                  <a:endParaRPr lang="en-US"/>
                </a:p>
              </c:txPr>
              <c:dLblPos val="bestFit"/>
              <c:showLegendKey val="0"/>
              <c:showVal val="1"/>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D1E5-47E3-9FBA-C8FE16AF25D8}"/>
                </c:ext>
              </c:extLst>
            </c:dLbl>
            <c:dLbl>
              <c:idx val="1"/>
              <c:layout>
                <c:manualLayout>
                  <c:x val="3.664127761972568E-2"/>
                  <c:y val="8.6128892790231504E-2"/>
                </c:manualLayout>
              </c:layout>
              <c:dLblPos val="bestFit"/>
              <c:showLegendKey val="0"/>
              <c:showVal val="1"/>
              <c:showCatName val="1"/>
              <c:showSerName val="0"/>
              <c:showPercent val="0"/>
              <c:showBubbleSize val="0"/>
              <c:separator> </c:separator>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D1E5-47E3-9FBA-C8FE16AF25D8}"/>
                </c:ext>
              </c:extLst>
            </c:dLbl>
            <c:dLbl>
              <c:idx val="2"/>
              <c:layout>
                <c:manualLayout>
                  <c:x val="2.6006999774861043E-2"/>
                  <c:y val="8.4905734536926639E-2"/>
                </c:manualLayout>
              </c:layout>
              <c:dLblPos val="bestFit"/>
              <c:showLegendKey val="0"/>
              <c:showVal val="1"/>
              <c:showCatName val="1"/>
              <c:showSerName val="0"/>
              <c:showPercent val="0"/>
              <c:showBubbleSize val="0"/>
              <c:separator> </c:separator>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D1E5-47E3-9FBA-C8FE16AF25D8}"/>
                </c:ext>
              </c:extLst>
            </c:dLbl>
            <c:dLbl>
              <c:idx val="3"/>
              <c:layout>
                <c:manualLayout>
                  <c:x val="2.7541400374280568E-4"/>
                  <c:y val="-0.32687366082578578"/>
                </c:manualLayout>
              </c:layout>
              <c:dLblPos val="bestFit"/>
              <c:showLegendKey val="0"/>
              <c:showVal val="1"/>
              <c:showCatName val="1"/>
              <c:showSerName val="0"/>
              <c:showPercent val="0"/>
              <c:showBubbleSize val="0"/>
              <c:separator> </c:separator>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D1E5-47E3-9FBA-C8FE16AF25D8}"/>
                </c:ext>
              </c:extLst>
            </c:dLbl>
            <c:dLbl>
              <c:idx val="4"/>
              <c:layout>
                <c:manualLayout>
                  <c:x val="0.1224681077509204"/>
                  <c:y val="-1.6268686048187403E-2"/>
                </c:manualLayout>
              </c:layout>
              <c:dLblPos val="bestFit"/>
              <c:showLegendKey val="0"/>
              <c:showVal val="1"/>
              <c:showCatName val="1"/>
              <c:showSerName val="0"/>
              <c:showPercent val="0"/>
              <c:showBubbleSize val="0"/>
              <c:separator> </c:separator>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D1E5-47E3-9FBA-C8FE16AF25D8}"/>
                </c:ext>
              </c:extLst>
            </c:dLbl>
            <c:dLbl>
              <c:idx val="5"/>
              <c:layout>
                <c:manualLayout>
                  <c:x val="3.7954100891491795E-2"/>
                  <c:y val="-3.9739803739174864E-2"/>
                </c:manualLayout>
              </c:layout>
              <c:dLblPos val="bestFit"/>
              <c:showLegendKey val="0"/>
              <c:showVal val="1"/>
              <c:showCatName val="1"/>
              <c:showSerName val="0"/>
              <c:showPercent val="0"/>
              <c:showBubbleSize val="0"/>
              <c:separator> </c:separator>
              <c:extLst xmlns:c16r2="http://schemas.microsoft.com/office/drawing/2015/06/chart">
                <c:ext xmlns:c15="http://schemas.microsoft.com/office/drawing/2012/chart" uri="{CE6537A1-D6FC-4f65-9D91-7224C49458BB}"/>
                <c:ext xmlns:c16="http://schemas.microsoft.com/office/drawing/2014/chart" uri="{C3380CC4-5D6E-409C-BE32-E72D297353CC}">
                  <c16:uniqueId val="{0000000B-D1E5-47E3-9FBA-C8FE16AF25D8}"/>
                </c:ext>
              </c:extLst>
            </c:dLbl>
            <c:dLbl>
              <c:idx val="6"/>
              <c:layout>
                <c:manualLayout>
                  <c:x val="3.6419764276587593E-2"/>
                  <c:y val="-0.10868395194361104"/>
                </c:manualLayout>
              </c:layout>
              <c:dLblPos val="bestFit"/>
              <c:showLegendKey val="0"/>
              <c:showVal val="1"/>
              <c:showCatName val="1"/>
              <c:showSerName val="0"/>
              <c:showPercent val="0"/>
              <c:showBubbleSize val="0"/>
              <c:separator> </c:separator>
              <c:extLst xmlns:c16r2="http://schemas.microsoft.com/office/drawing/2015/06/chart">
                <c:ext xmlns:c15="http://schemas.microsoft.com/office/drawing/2012/chart" uri="{CE6537A1-D6FC-4f65-9D91-7224C49458BB}"/>
                <c:ext xmlns:c16="http://schemas.microsoft.com/office/drawing/2014/chart" uri="{C3380CC4-5D6E-409C-BE32-E72D297353CC}">
                  <c16:uniqueId val="{00000010-D1E5-47E3-9FBA-C8FE16AF25D8}"/>
                </c:ext>
              </c:extLst>
            </c:dLbl>
            <c:dLbl>
              <c:idx val="7"/>
              <c:layout>
                <c:manualLayout>
                  <c:x val="6.1903299083130414E-2"/>
                  <c:y val="-3.7649626017115259E-2"/>
                </c:manualLayout>
              </c:layout>
              <c:dLblPos val="bestFit"/>
              <c:showLegendKey val="0"/>
              <c:showVal val="1"/>
              <c:showCatName val="1"/>
              <c:showSerName val="0"/>
              <c:showPercent val="0"/>
              <c:showBubbleSize val="0"/>
              <c:separator> </c:separator>
              <c:extLst xmlns:c16r2="http://schemas.microsoft.com/office/drawing/2015/06/chart">
                <c:ext xmlns:c15="http://schemas.microsoft.com/office/drawing/2012/chart" uri="{CE6537A1-D6FC-4f65-9D91-7224C49458BB}"/>
                <c:ext xmlns:c16="http://schemas.microsoft.com/office/drawing/2014/chart" uri="{C3380CC4-5D6E-409C-BE32-E72D297353CC}">
                  <c16:uniqueId val="{0000000D-D1E5-47E3-9FBA-C8FE16AF25D8}"/>
                </c:ext>
              </c:extLst>
            </c:dLbl>
            <c:spPr>
              <a:noFill/>
              <a:ln>
                <a:noFill/>
              </a:ln>
              <a:effectLst/>
            </c:spPr>
            <c:txPr>
              <a:bodyPr/>
              <a:lstStyle/>
              <a:p>
                <a:pPr>
                  <a:defRPr sz="1050"/>
                </a:pPr>
                <a:endParaRPr lang="en-US"/>
              </a:p>
            </c:txPr>
            <c:dLblPos val="bestFit"/>
            <c:showLegendKey val="0"/>
            <c:showVal val="1"/>
            <c:showCatName val="1"/>
            <c:showSerName val="0"/>
            <c:showPercent val="0"/>
            <c:showBubbleSize val="0"/>
            <c:separator> </c:separator>
            <c:showLeaderLines val="1"/>
            <c:leaderLines>
              <c:spPr>
                <a:ln>
                  <a:solidFill>
                    <a:schemeClr val="bg1">
                      <a:lumMod val="75000"/>
                    </a:schemeClr>
                  </a:solidFill>
                </a:ln>
              </c:spPr>
            </c:leaderLines>
            <c:extLst xmlns:c16r2="http://schemas.microsoft.com/office/drawing/2015/06/chart">
              <c:ext xmlns:c15="http://schemas.microsoft.com/office/drawing/2012/chart" uri="{CE6537A1-D6FC-4f65-9D91-7224C49458BB}"/>
            </c:extLst>
          </c:dLbls>
          <c:cat>
            <c:strRef>
              <c:f>('Figure 5.1'!$E$31,'Figure 5.1'!$E$34:$E$39,'Figure 5.1'!$E$42)</c:f>
              <c:strCache>
                <c:ptCount val="8"/>
                <c:pt idx="0">
                  <c:v>Student Nurses Bursary
9,015 | £55.6M |</c:v>
                </c:pt>
                <c:pt idx="1">
                  <c:v>Initial Expenses
2,945 | £0.2M |</c:v>
                </c:pt>
                <c:pt idx="2">
                  <c:v>Placement Expenses
2,440 | £1.9M |</c:v>
                </c:pt>
                <c:pt idx="3">
                  <c:v>Dependants Allowance
1,215 | £4.5M |</c:v>
                </c:pt>
                <c:pt idx="4">
                  <c:v>Childcare Allowance
1,000 | £2.2M |</c:v>
                </c:pt>
                <c:pt idx="5">
                  <c:v>Single Parents Allowance
1,040 | £2.2M |</c:v>
                </c:pt>
                <c:pt idx="6">
                  <c:v>Disabled Students Allowance
350 | £0.5M |</c:v>
                </c:pt>
                <c:pt idx="7">
                  <c:v>Adhoc Payments 
40 | £0.0M | </c:v>
                </c:pt>
              </c:strCache>
            </c:strRef>
          </c:cat>
          <c:val>
            <c:numRef>
              <c:f>('Figure 5.1'!$D$31,'Figure 5.1'!$D$34:$D$39,'Figure 5.1'!$D$42)</c:f>
              <c:numCache>
                <c:formatCode>0.0%</c:formatCode>
                <c:ptCount val="8"/>
                <c:pt idx="0">
                  <c:v>0.82987584775590584</c:v>
                </c:pt>
                <c:pt idx="1">
                  <c:v>2.6387591593580173E-3</c:v>
                </c:pt>
                <c:pt idx="2">
                  <c:v>2.8444252194267765E-2</c:v>
                </c:pt>
                <c:pt idx="3">
                  <c:v>6.6836748916060659E-2</c:v>
                </c:pt>
                <c:pt idx="4">
                  <c:v>3.2122470931447621E-2</c:v>
                </c:pt>
                <c:pt idx="5">
                  <c:v>3.3212288622529174E-2</c:v>
                </c:pt>
                <c:pt idx="6">
                  <c:v>6.8283121768009268E-3</c:v>
                </c:pt>
                <c:pt idx="7">
                  <c:v>4.1320243629892869E-5</c:v>
                </c:pt>
              </c:numCache>
            </c:numRef>
          </c:val>
          <c:extLst xmlns:c16r2="http://schemas.microsoft.com/office/drawing/2015/06/chart">
            <c:ext xmlns:c16="http://schemas.microsoft.com/office/drawing/2014/chart" uri="{C3380CC4-5D6E-409C-BE32-E72D297353CC}">
              <c16:uniqueId val="{00000011-D1E5-47E3-9FBA-C8FE16AF25D8}"/>
            </c:ext>
          </c:extLst>
        </c:ser>
        <c:dLbls>
          <c:showLegendKey val="0"/>
          <c:showVal val="0"/>
          <c:showCatName val="0"/>
          <c:showSerName val="0"/>
          <c:showPercent val="0"/>
          <c:showBubbleSize val="0"/>
          <c:showLeaderLines val="1"/>
        </c:dLbls>
        <c:gapWidth val="100"/>
        <c:splitType val="pos"/>
        <c:splitPos val="7"/>
        <c:secondPieSize val="75"/>
        <c:serLines>
          <c:spPr>
            <a:ln w="3175">
              <a:solidFill>
                <a:srgbClr val="4F81BD">
                  <a:alpha val="48000"/>
                </a:srgbClr>
              </a:solidFill>
              <a:prstDash val="dash"/>
            </a:ln>
          </c:spPr>
        </c:serLines>
      </c:ofPieChart>
    </c:plotArea>
    <c:plotVisOnly val="0"/>
    <c:dispBlanksAs val="gap"/>
    <c:showDLblsOverMax val="0"/>
  </c:chart>
  <c:spPr>
    <a:noFill/>
    <a:ln>
      <a:noFill/>
    </a:ln>
  </c:spPr>
  <c:printSettings>
    <c:headerFooter/>
    <c:pageMargins b="0.75" l="0.7" r="0.7" t="0.75" header="0.3" footer="0.3"/>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5.2'!$A$31</c:f>
              <c:strCache>
                <c:ptCount val="1"/>
                <c:pt idx="0">
                  <c:v>Total</c:v>
                </c:pt>
              </c:strCache>
            </c:strRef>
          </c:tx>
          <c:invertIfNegative val="0"/>
          <c:dPt>
            <c:idx val="0"/>
            <c:invertIfNegative val="0"/>
            <c:bubble3D val="0"/>
            <c:spPr>
              <a:solidFill>
                <a:schemeClr val="bg1">
                  <a:lumMod val="85000"/>
                </a:schemeClr>
              </a:solidFill>
            </c:spPr>
            <c:extLst xmlns:c16r2="http://schemas.microsoft.com/office/drawing/2015/06/chart">
              <c:ext xmlns:c16="http://schemas.microsoft.com/office/drawing/2014/chart" uri="{C3380CC4-5D6E-409C-BE32-E72D297353CC}">
                <c16:uniqueId val="{00000001-F39D-4200-AA4B-D6AF969848D7}"/>
              </c:ext>
            </c:extLst>
          </c:dPt>
          <c:dPt>
            <c:idx val="1"/>
            <c:invertIfNegative val="0"/>
            <c:bubble3D val="0"/>
            <c:spPr>
              <a:solidFill>
                <a:schemeClr val="bg1">
                  <a:lumMod val="65000"/>
                </a:schemeClr>
              </a:solidFill>
            </c:spPr>
            <c:extLst xmlns:c16r2="http://schemas.microsoft.com/office/drawing/2015/06/chart">
              <c:ext xmlns:c16="http://schemas.microsoft.com/office/drawing/2014/chart" uri="{C3380CC4-5D6E-409C-BE32-E72D297353CC}">
                <c16:uniqueId val="{00000003-F39D-4200-AA4B-D6AF969848D7}"/>
              </c:ext>
            </c:extLst>
          </c:dPt>
          <c:dLbls>
            <c:spPr>
              <a:solidFill>
                <a:schemeClr val="bg1"/>
              </a:solidFill>
            </c:spPr>
            <c:txPr>
              <a:bodyPr/>
              <a:lstStyle/>
              <a:p>
                <a:pPr>
                  <a:defRPr sz="1200"/>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('Table A5'!$A$11,'Table A5'!$A$17)</c:f>
              <c:strCache>
                <c:ptCount val="2"/>
                <c:pt idx="0">
                  <c:v>Female</c:v>
                </c:pt>
                <c:pt idx="1">
                  <c:v>Male</c:v>
                </c:pt>
              </c:strCache>
            </c:strRef>
          </c:cat>
          <c:val>
            <c:numRef>
              <c:f>('Figure 5.2'!$C$31,'Figure 5.2'!$D$31)</c:f>
              <c:numCache>
                <c:formatCode>#,##0</c:formatCode>
                <c:ptCount val="2"/>
                <c:pt idx="0">
                  <c:v>8255</c:v>
                </c:pt>
                <c:pt idx="1">
                  <c:v>760</c:v>
                </c:pt>
              </c:numCache>
            </c:numRef>
          </c:val>
          <c:extLst xmlns:c16r2="http://schemas.microsoft.com/office/drawing/2015/06/chart">
            <c:ext xmlns:c16="http://schemas.microsoft.com/office/drawing/2014/chart" uri="{C3380CC4-5D6E-409C-BE32-E72D297353CC}">
              <c16:uniqueId val="{00000004-F39D-4200-AA4B-D6AF969848D7}"/>
            </c:ext>
          </c:extLst>
        </c:ser>
        <c:dLbls>
          <c:showLegendKey val="0"/>
          <c:showVal val="0"/>
          <c:showCatName val="0"/>
          <c:showSerName val="0"/>
          <c:showPercent val="0"/>
          <c:showBubbleSize val="0"/>
        </c:dLbls>
        <c:gapWidth val="50"/>
        <c:axId val="187785216"/>
        <c:axId val="187786752"/>
      </c:barChart>
      <c:catAx>
        <c:axId val="187785216"/>
        <c:scaling>
          <c:orientation val="minMax"/>
        </c:scaling>
        <c:delete val="0"/>
        <c:axPos val="b"/>
        <c:numFmt formatCode="General" sourceLinked="1"/>
        <c:majorTickMark val="out"/>
        <c:minorTickMark val="none"/>
        <c:tickLblPos val="nextTo"/>
        <c:txPr>
          <a:bodyPr/>
          <a:lstStyle/>
          <a:p>
            <a:pPr>
              <a:defRPr sz="1200"/>
            </a:pPr>
            <a:endParaRPr lang="en-US"/>
          </a:p>
        </c:txPr>
        <c:crossAx val="187786752"/>
        <c:crosses val="autoZero"/>
        <c:auto val="1"/>
        <c:lblAlgn val="ctr"/>
        <c:lblOffset val="100"/>
        <c:noMultiLvlLbl val="0"/>
      </c:catAx>
      <c:valAx>
        <c:axId val="187786752"/>
        <c:scaling>
          <c:orientation val="minMax"/>
          <c:min val="0"/>
        </c:scaling>
        <c:delete val="1"/>
        <c:axPos val="l"/>
        <c:numFmt formatCode="#,##0" sourceLinked="1"/>
        <c:majorTickMark val="out"/>
        <c:minorTickMark val="none"/>
        <c:tickLblPos val="nextTo"/>
        <c:crossAx val="187785216"/>
        <c:crosses val="autoZero"/>
        <c:crossBetween val="between"/>
      </c:valAx>
    </c:plotArea>
    <c:plotVisOnly val="0"/>
    <c:dispBlanksAs val="gap"/>
    <c:showDLblsOverMax val="0"/>
  </c:chart>
  <c:spPr>
    <a:ln>
      <a:noFill/>
    </a:ln>
  </c:sp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'Figure 5.2'!$C$30</c:f>
              <c:strCache>
                <c:ptCount val="1"/>
                <c:pt idx="0">
                  <c:v>Female</c:v>
                </c:pt>
              </c:strCache>
            </c:strRef>
          </c:tx>
          <c:dPt>
            <c:idx val="0"/>
            <c:bubble3D val="0"/>
            <c:spPr>
              <a:solidFill>
                <a:srgbClr val="002060"/>
              </a:solidFill>
            </c:spPr>
            <c:extLst xmlns:c16r2="http://schemas.microsoft.com/office/drawing/2015/06/chart">
              <c:ext xmlns:c16="http://schemas.microsoft.com/office/drawing/2014/chart" uri="{C3380CC4-5D6E-409C-BE32-E72D297353CC}">
                <c16:uniqueId val="{00000001-C0A9-47E7-A10F-81758E138230}"/>
              </c:ext>
            </c:extLst>
          </c:dPt>
          <c:dPt>
            <c:idx val="1"/>
            <c:bubble3D val="0"/>
            <c:spPr>
              <a:solidFill>
                <a:srgbClr val="4F81BD"/>
              </a:solidFill>
            </c:spPr>
            <c:extLst xmlns:c16r2="http://schemas.microsoft.com/office/drawing/2015/06/chart">
              <c:ext xmlns:c16="http://schemas.microsoft.com/office/drawing/2014/chart" uri="{C3380CC4-5D6E-409C-BE32-E72D297353CC}">
                <c16:uniqueId val="{00000003-C0A9-47E7-A10F-81758E138230}"/>
              </c:ext>
            </c:extLst>
          </c:dPt>
          <c:dPt>
            <c:idx val="2"/>
            <c:bubble3D val="0"/>
            <c:spPr>
              <a:solidFill>
                <a:srgbClr val="008080"/>
              </a:solidFill>
            </c:spPr>
            <c:extLst xmlns:c16r2="http://schemas.microsoft.com/office/drawing/2015/06/chart">
              <c:ext xmlns:c16="http://schemas.microsoft.com/office/drawing/2014/chart" uri="{C3380CC4-5D6E-409C-BE32-E72D297353CC}">
                <c16:uniqueId val="{00000005-C0A9-47E7-A10F-81758E138230}"/>
              </c:ext>
            </c:extLst>
          </c:dPt>
          <c:dPt>
            <c:idx val="3"/>
            <c:bubble3D val="0"/>
            <c:spPr>
              <a:solidFill>
                <a:srgbClr val="81C9BB"/>
              </a:solidFill>
            </c:spPr>
            <c:extLst xmlns:c16r2="http://schemas.microsoft.com/office/drawing/2015/06/chart">
              <c:ext xmlns:c16="http://schemas.microsoft.com/office/drawing/2014/chart" uri="{C3380CC4-5D6E-409C-BE32-E72D297353CC}">
                <c16:uniqueId val="{00000007-C0A9-47E7-A10F-81758E138230}"/>
              </c:ext>
            </c:extLst>
          </c:dPt>
          <c:dLbls>
            <c:dLbl>
              <c:idx val="0"/>
              <c:numFmt formatCode="0.0%" sourceLinked="0"/>
              <c:spPr/>
              <c:txPr>
                <a:bodyPr/>
                <a:lstStyle/>
                <a:p>
                  <a:pPr>
                    <a:defRPr sz="1100">
                      <a:solidFill>
                        <a:schemeClr val="bg1">
                          <a:lumMod val="85000"/>
                        </a:schemeClr>
                      </a:solidFill>
                    </a:defRPr>
                  </a:pPr>
                  <a:endParaRPr lang="en-US"/>
                </a:p>
              </c:txPr>
              <c:dLblPos val="inEnd"/>
              <c:showLegendKey val="0"/>
              <c:showVal val="0"/>
              <c:showCatName val="0"/>
              <c:showSerName val="0"/>
              <c:showPercent val="1"/>
              <c:showBubbleSize val="0"/>
            </c:dLbl>
            <c:numFmt formatCode="0.0%" sourceLinked="0"/>
            <c:spPr>
              <a:noFill/>
              <a:ln>
                <a:noFill/>
              </a:ln>
              <a:effectLst/>
            </c:spPr>
            <c:txPr>
              <a:bodyPr/>
              <a:lstStyle/>
              <a:p>
                <a:pPr>
                  <a:defRPr sz="1100">
                    <a:solidFill>
                      <a:sysClr val="windowText" lastClr="000000"/>
                    </a:solidFill>
                  </a:defRPr>
                </a:pPr>
                <a:endParaRPr lang="en-US"/>
              </a:p>
            </c:txPr>
            <c:dLblPos val="inEnd"/>
            <c:showLegendKey val="0"/>
            <c:showVal val="0"/>
            <c:showCatName val="0"/>
            <c:showSerName val="0"/>
            <c:showPercent val="1"/>
            <c:showBubbleSize val="0"/>
            <c:showLeaderLines val="0"/>
            <c:extLst xmlns:c16r2="http://schemas.microsoft.com/office/drawing/2015/06/chart">
              <c:ext xmlns:c15="http://schemas.microsoft.com/office/drawing/2012/chart" uri="{CE6537A1-D6FC-4f65-9D91-7224C49458BB}"/>
            </c:extLst>
          </c:dLbls>
          <c:cat>
            <c:strRef>
              <c:f>'Figure 5.2'!$A$32:$A$35</c:f>
              <c:strCache>
                <c:ptCount val="4"/>
                <c:pt idx="0">
                  <c:v>17 and under</c:v>
                </c:pt>
                <c:pt idx="1">
                  <c:v>18 to 20</c:v>
                </c:pt>
                <c:pt idx="2">
                  <c:v>21 to 24</c:v>
                </c:pt>
                <c:pt idx="3">
                  <c:v>25 and over</c:v>
                </c:pt>
              </c:strCache>
            </c:strRef>
          </c:cat>
          <c:val>
            <c:numRef>
              <c:f>'Figure 5.2'!$C$32:$C$35</c:f>
              <c:numCache>
                <c:formatCode>#,##0</c:formatCode>
                <c:ptCount val="4"/>
                <c:pt idx="0">
                  <c:v>302</c:v>
                </c:pt>
                <c:pt idx="1">
                  <c:v>2659</c:v>
                </c:pt>
                <c:pt idx="2">
                  <c:v>1862</c:v>
                </c:pt>
                <c:pt idx="3">
                  <c:v>3431</c:v>
                </c:pt>
              </c:numCache>
            </c:numRef>
          </c:val>
          <c:extLst xmlns:c16r2="http://schemas.microsoft.com/office/drawing/2015/06/chart">
            <c:ext xmlns:c16="http://schemas.microsoft.com/office/drawing/2014/chart" uri="{C3380CC4-5D6E-409C-BE32-E72D297353CC}">
              <c16:uniqueId val="{00000008-C0A9-47E7-A10F-81758E138230}"/>
            </c:ext>
          </c:extLst>
        </c:ser>
        <c:dLbls>
          <c:showLegendKey val="0"/>
          <c:showVal val="0"/>
          <c:showCatName val="0"/>
          <c:showSerName val="0"/>
          <c:showPercent val="0"/>
          <c:showBubbleSize val="0"/>
          <c:showLeaderLines val="0"/>
        </c:dLbls>
        <c:firstSliceAng val="0"/>
      </c:pieChart>
      <c:spPr>
        <a:noFill/>
        <a:ln w="25400">
          <a:noFill/>
        </a:ln>
      </c:spPr>
    </c:plotArea>
    <c:plotVisOnly val="0"/>
    <c:dispBlanksAs val="gap"/>
    <c:showDLblsOverMax val="0"/>
  </c:chart>
  <c:spPr>
    <a:ln>
      <a:noFill/>
    </a:ln>
  </c:sp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'Figure 5.2'!$D$30</c:f>
              <c:strCache>
                <c:ptCount val="1"/>
                <c:pt idx="0">
                  <c:v>Male</c:v>
                </c:pt>
              </c:strCache>
            </c:strRef>
          </c:tx>
          <c:dPt>
            <c:idx val="0"/>
            <c:bubble3D val="0"/>
            <c:spPr>
              <a:solidFill>
                <a:srgbClr val="002060"/>
              </a:solidFill>
            </c:spPr>
            <c:extLst xmlns:c16r2="http://schemas.microsoft.com/office/drawing/2015/06/chart">
              <c:ext xmlns:c16="http://schemas.microsoft.com/office/drawing/2014/chart" uri="{C3380CC4-5D6E-409C-BE32-E72D297353CC}">
                <c16:uniqueId val="{00000001-1204-421E-B0A2-3CEEDC771D66}"/>
              </c:ext>
            </c:extLst>
          </c:dPt>
          <c:dPt>
            <c:idx val="1"/>
            <c:bubble3D val="0"/>
            <c:spPr>
              <a:solidFill>
                <a:srgbClr val="4F81BD"/>
              </a:solidFill>
            </c:spPr>
            <c:extLst xmlns:c16r2="http://schemas.microsoft.com/office/drawing/2015/06/chart">
              <c:ext xmlns:c16="http://schemas.microsoft.com/office/drawing/2014/chart" uri="{C3380CC4-5D6E-409C-BE32-E72D297353CC}">
                <c16:uniqueId val="{00000003-1204-421E-B0A2-3CEEDC771D66}"/>
              </c:ext>
            </c:extLst>
          </c:dPt>
          <c:dPt>
            <c:idx val="2"/>
            <c:bubble3D val="0"/>
            <c:spPr>
              <a:solidFill>
                <a:srgbClr val="008080"/>
              </a:solidFill>
            </c:spPr>
            <c:extLst xmlns:c16r2="http://schemas.microsoft.com/office/drawing/2015/06/chart">
              <c:ext xmlns:c16="http://schemas.microsoft.com/office/drawing/2014/chart" uri="{C3380CC4-5D6E-409C-BE32-E72D297353CC}">
                <c16:uniqueId val="{00000005-1204-421E-B0A2-3CEEDC771D66}"/>
              </c:ext>
            </c:extLst>
          </c:dPt>
          <c:dPt>
            <c:idx val="3"/>
            <c:bubble3D val="0"/>
            <c:spPr>
              <a:solidFill>
                <a:srgbClr val="81C9BB"/>
              </a:solidFill>
            </c:spPr>
            <c:extLst xmlns:c16r2="http://schemas.microsoft.com/office/drawing/2015/06/chart">
              <c:ext xmlns:c16="http://schemas.microsoft.com/office/drawing/2014/chart" uri="{C3380CC4-5D6E-409C-BE32-E72D297353CC}">
                <c16:uniqueId val="{00000007-1204-421E-B0A2-3CEEDC771D66}"/>
              </c:ext>
            </c:extLst>
          </c:dPt>
          <c:dLbls>
            <c:dLbl>
              <c:idx val="0"/>
              <c:numFmt formatCode="0.0%" sourceLinked="0"/>
              <c:spPr/>
              <c:txPr>
                <a:bodyPr/>
                <a:lstStyle/>
                <a:p>
                  <a:pPr>
                    <a:defRPr sz="1100">
                      <a:solidFill>
                        <a:schemeClr val="bg1">
                          <a:lumMod val="95000"/>
                        </a:schemeClr>
                      </a:solidFill>
                    </a:defRPr>
                  </a:pPr>
                  <a:endParaRPr lang="en-US"/>
                </a:p>
              </c:txPr>
              <c:dLblPos val="inEnd"/>
              <c:showLegendKey val="0"/>
              <c:showVal val="0"/>
              <c:showCatName val="0"/>
              <c:showSerName val="0"/>
              <c:showPercent val="1"/>
              <c:showBubbleSize val="0"/>
            </c:dLbl>
            <c:numFmt formatCode="0.0%" sourceLinked="0"/>
            <c:spPr>
              <a:noFill/>
              <a:ln>
                <a:noFill/>
              </a:ln>
              <a:effectLst/>
            </c:spPr>
            <c:txPr>
              <a:bodyPr/>
              <a:lstStyle/>
              <a:p>
                <a:pPr>
                  <a:defRPr sz="1100">
                    <a:solidFill>
                      <a:sysClr val="windowText" lastClr="000000"/>
                    </a:solidFill>
                  </a:defRPr>
                </a:pPr>
                <a:endParaRPr lang="en-US"/>
              </a:p>
            </c:txPr>
            <c:dLblPos val="inEnd"/>
            <c:showLegendKey val="0"/>
            <c:showVal val="0"/>
            <c:showCatName val="0"/>
            <c:showSerName val="0"/>
            <c:showPercent val="1"/>
            <c:showBubbleSize val="0"/>
            <c:showLeaderLines val="0"/>
            <c:extLst xmlns:c16r2="http://schemas.microsoft.com/office/drawing/2015/06/chart">
              <c:ext xmlns:c15="http://schemas.microsoft.com/office/drawing/2012/chart" uri="{CE6537A1-D6FC-4f65-9D91-7224C49458BB}"/>
            </c:extLst>
          </c:dLbls>
          <c:cat>
            <c:strRef>
              <c:f>'Figure 5.2'!$A$32:$A$35</c:f>
              <c:strCache>
                <c:ptCount val="4"/>
                <c:pt idx="0">
                  <c:v>17 and under</c:v>
                </c:pt>
                <c:pt idx="1">
                  <c:v>18 to 20</c:v>
                </c:pt>
                <c:pt idx="2">
                  <c:v>21 to 24</c:v>
                </c:pt>
                <c:pt idx="3">
                  <c:v>25 and over</c:v>
                </c:pt>
              </c:strCache>
            </c:strRef>
          </c:cat>
          <c:val>
            <c:numRef>
              <c:f>'Figure 5.2'!$D$32:$D$35</c:f>
              <c:numCache>
                <c:formatCode>#,##0</c:formatCode>
                <c:ptCount val="4"/>
                <c:pt idx="0">
                  <c:v>10</c:v>
                </c:pt>
                <c:pt idx="1">
                  <c:v>142</c:v>
                </c:pt>
                <c:pt idx="2">
                  <c:v>178</c:v>
                </c:pt>
                <c:pt idx="3">
                  <c:v>430</c:v>
                </c:pt>
              </c:numCache>
            </c:numRef>
          </c:val>
          <c:extLst xmlns:c16r2="http://schemas.microsoft.com/office/drawing/2015/06/chart">
            <c:ext xmlns:c16="http://schemas.microsoft.com/office/drawing/2014/chart" uri="{C3380CC4-5D6E-409C-BE32-E72D297353CC}">
              <c16:uniqueId val="{00000008-1204-421E-B0A2-3CEEDC771D66}"/>
            </c:ext>
          </c:extLst>
        </c:ser>
        <c:dLbls>
          <c:showLegendKey val="0"/>
          <c:showVal val="0"/>
          <c:showCatName val="0"/>
          <c:showSerName val="0"/>
          <c:showPercent val="0"/>
          <c:showBubbleSize val="0"/>
          <c:showLeaderLines val="0"/>
        </c:dLbls>
        <c:firstSliceAng val="0"/>
      </c:pieChart>
      <c:spPr>
        <a:noFill/>
        <a:ln w="25400">
          <a:noFill/>
        </a:ln>
      </c:spPr>
    </c:plotArea>
    <c:plotVisOnly val="0"/>
    <c:dispBlanksAs val="gap"/>
    <c:showDLblsOverMax val="0"/>
  </c:chart>
  <c:spPr>
    <a:ln>
      <a:noFill/>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4F81BD"/>
            </a:solidFill>
          </c:spPr>
          <c:dPt>
            <c:idx val="0"/>
            <c:bubble3D val="0"/>
            <c:spPr>
              <a:solidFill>
                <a:srgbClr val="002060"/>
              </a:solidFill>
            </c:spPr>
            <c:extLst xmlns:c16r2="http://schemas.microsoft.com/office/drawing/2015/06/chart">
              <c:ext xmlns:c16="http://schemas.microsoft.com/office/drawing/2014/chart" uri="{C3380CC4-5D6E-409C-BE32-E72D297353CC}">
                <c16:uniqueId val="{00000001-38F2-4967-8261-AE1206C44DDC}"/>
              </c:ext>
            </c:extLst>
          </c:dPt>
          <c:dPt>
            <c:idx val="1"/>
            <c:bubble3D val="0"/>
            <c:extLst xmlns:c16r2="http://schemas.microsoft.com/office/drawing/2015/06/chart">
              <c:ext xmlns:c16="http://schemas.microsoft.com/office/drawing/2014/chart" uri="{C3380CC4-5D6E-409C-BE32-E72D297353CC}">
                <c16:uniqueId val="{00000002-38F2-4967-8261-AE1206C44DDC}"/>
              </c:ext>
            </c:extLst>
          </c:dPt>
          <c:dPt>
            <c:idx val="2"/>
            <c:bubble3D val="0"/>
            <c:spPr>
              <a:solidFill>
                <a:srgbClr val="008080"/>
              </a:solidFill>
              <a:ln>
                <a:solidFill>
                  <a:schemeClr val="accent1"/>
                </a:solidFill>
              </a:ln>
            </c:spPr>
            <c:extLst xmlns:c16r2="http://schemas.microsoft.com/office/drawing/2015/06/chart">
              <c:ext xmlns:c16="http://schemas.microsoft.com/office/drawing/2014/chart" uri="{C3380CC4-5D6E-409C-BE32-E72D297353CC}">
                <c16:uniqueId val="{00000004-38F2-4967-8261-AE1206C44DDC}"/>
              </c:ext>
            </c:extLst>
          </c:dPt>
          <c:dPt>
            <c:idx val="3"/>
            <c:bubble3D val="0"/>
            <c:spPr>
              <a:solidFill>
                <a:srgbClr val="81C9BB"/>
              </a:solidFill>
            </c:spPr>
            <c:extLst xmlns:c16r2="http://schemas.microsoft.com/office/drawing/2015/06/chart">
              <c:ext xmlns:c16="http://schemas.microsoft.com/office/drawing/2014/chart" uri="{C3380CC4-5D6E-409C-BE32-E72D297353CC}">
                <c16:uniqueId val="{00000006-38F2-4967-8261-AE1206C44DDC}"/>
              </c:ext>
            </c:extLst>
          </c:dPt>
          <c:cat>
            <c:strRef>
              <c:f>'Table A5'!$A$12:$A$15</c:f>
              <c:strCache>
                <c:ptCount val="4"/>
                <c:pt idx="0">
                  <c:v>17 and under</c:v>
                </c:pt>
                <c:pt idx="1">
                  <c:v>18 to 20</c:v>
                </c:pt>
                <c:pt idx="2">
                  <c:v>21 to 24</c:v>
                </c:pt>
                <c:pt idx="3">
                  <c:v>25 and over</c:v>
                </c:pt>
              </c:strCache>
            </c:strRef>
          </c:cat>
          <c:val>
            <c:numRef>
              <c:f>'Table A5'!$N$12:$N$15</c:f>
              <c:numCache>
                <c:formatCode>General</c:formatCode>
                <c:ptCount val="4"/>
              </c:numCache>
            </c:numRef>
          </c:val>
          <c:extLst xmlns:c16r2="http://schemas.microsoft.com/office/drawing/2015/06/chart">
            <c:ext xmlns:c16="http://schemas.microsoft.com/office/drawing/2014/chart" uri="{C3380CC4-5D6E-409C-BE32-E72D297353CC}">
              <c16:uniqueId val="{00000007-38F2-4967-8261-AE1206C44DDC}"/>
            </c:ext>
          </c:extLst>
        </c:ser>
        <c:dLbls>
          <c:showLegendKey val="0"/>
          <c:showVal val="0"/>
          <c:showCatName val="0"/>
          <c:showSerName val="0"/>
          <c:showPercent val="0"/>
          <c:showBubbleSize val="0"/>
          <c:showLeaderLines val="1"/>
        </c:dLbls>
        <c:firstSliceAng val="0"/>
      </c:pieChart>
      <c:spPr>
        <a:noFill/>
        <a:ln w="25400">
          <a:noFill/>
        </a:ln>
      </c:spPr>
    </c:plotArea>
    <c:legend>
      <c:legendPos val="b"/>
      <c:overlay val="0"/>
      <c:txPr>
        <a:bodyPr/>
        <a:lstStyle/>
        <a:p>
          <a:pPr>
            <a:defRPr sz="1200"/>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3"/>
          <c:order val="0"/>
          <c:tx>
            <c:strRef>
              <c:f>'Table A1'!$A$5</c:f>
              <c:strCache>
                <c:ptCount val="1"/>
                <c:pt idx="0">
                  <c:v>Total Support</c:v>
                </c:pt>
              </c:strCache>
            </c:strRef>
          </c:tx>
          <c:spPr>
            <a:solidFill>
              <a:srgbClr val="002060"/>
            </a:solidFill>
            <a:ln w="25400">
              <a:noFill/>
            </a:ln>
          </c:spPr>
          <c:cat>
            <c:strRef>
              <c:f>'Table A1'!$B$4:$M$4</c:f>
              <c:strCache>
                <c:ptCount val="10"/>
                <c:pt idx="0">
                  <c:v>2008-09</c:v>
                </c:pt>
                <c:pt idx="1">
                  <c:v>2009-10</c:v>
                </c:pt>
                <c:pt idx="2">
                  <c:v>2010-11</c:v>
                </c:pt>
                <c:pt idx="3">
                  <c:v>2011-12</c:v>
                </c:pt>
                <c:pt idx="4">
                  <c:v>2012-13</c:v>
                </c:pt>
                <c:pt idx="5">
                  <c:v>2013-14</c:v>
                </c:pt>
                <c:pt idx="6">
                  <c:v>2014-15</c:v>
                </c:pt>
                <c:pt idx="7">
                  <c:v>2015-16</c:v>
                </c:pt>
                <c:pt idx="8">
                  <c:v>2016-17</c:v>
                </c:pt>
                <c:pt idx="9">
                  <c:v>2017-18</c:v>
                </c:pt>
              </c:strCache>
            </c:strRef>
          </c:cat>
          <c:val>
            <c:numRef>
              <c:f>'Table A1'!$C$7:$M$7</c:f>
              <c:numCache>
                <c:formatCode>#,##0.0</c:formatCode>
                <c:ptCount val="10"/>
                <c:pt idx="0">
                  <c:v>482.56700000000001</c:v>
                </c:pt>
                <c:pt idx="1">
                  <c:v>522.38599999999997</c:v>
                </c:pt>
                <c:pt idx="2">
                  <c:v>571.851</c:v>
                </c:pt>
                <c:pt idx="3">
                  <c:v>570.30799999999999</c:v>
                </c:pt>
                <c:pt idx="4">
                  <c:v>584.33299999999997</c:v>
                </c:pt>
                <c:pt idx="5">
                  <c:v>734.68700000000001</c:v>
                </c:pt>
                <c:pt idx="6">
                  <c:v>781.25900000000001</c:v>
                </c:pt>
                <c:pt idx="7">
                  <c:v>813.33323199999995</c:v>
                </c:pt>
                <c:pt idx="8">
                  <c:v>844.681646</c:v>
                </c:pt>
                <c:pt idx="9">
                  <c:v>882.72776399999998</c:v>
                </c:pt>
              </c:numCache>
            </c:numRef>
          </c:val>
          <c:extLst xmlns:c16r2="http://schemas.microsoft.com/office/drawing/2015/06/chart">
            <c:ext xmlns:c16="http://schemas.microsoft.com/office/drawing/2014/chart" uri="{C3380CC4-5D6E-409C-BE32-E72D297353CC}">
              <c16:uniqueId val="{00000000-096E-47F3-B923-273078B36252}"/>
            </c:ext>
          </c:extLst>
        </c:ser>
        <c:dLbls>
          <c:showLegendKey val="0"/>
          <c:showVal val="0"/>
          <c:showCatName val="0"/>
          <c:showSerName val="0"/>
          <c:showPercent val="0"/>
          <c:showBubbleSize val="0"/>
        </c:dLbls>
        <c:axId val="170070400"/>
        <c:axId val="170071936"/>
      </c:areaChart>
      <c:areaChart>
        <c:grouping val="stacked"/>
        <c:varyColors val="0"/>
        <c:ser>
          <c:idx val="0"/>
          <c:order val="1"/>
          <c:tx>
            <c:strRef>
              <c:f>'Table A1'!$A$15</c:f>
              <c:strCache>
                <c:ptCount val="1"/>
                <c:pt idx="0">
                  <c:v>Bursaries and grants</c:v>
                </c:pt>
              </c:strCache>
            </c:strRef>
          </c:tx>
          <c:spPr>
            <a:solidFill>
              <a:srgbClr val="4F81BD"/>
            </a:solidFill>
            <a:ln>
              <a:noFill/>
            </a:ln>
          </c:spPr>
          <c:dPt>
            <c:idx val="6"/>
            <c:bubble3D val="0"/>
            <c:extLst xmlns:c16r2="http://schemas.microsoft.com/office/drawing/2015/06/chart">
              <c:ext xmlns:c16="http://schemas.microsoft.com/office/drawing/2014/chart" uri="{C3380CC4-5D6E-409C-BE32-E72D297353CC}">
                <c16:uniqueId val="{00000001-096E-47F3-B923-273078B36252}"/>
              </c:ext>
            </c:extLst>
          </c:dPt>
          <c:dLbls>
            <c:dLbl>
              <c:idx val="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096E-47F3-B923-273078B36252}"/>
                </c:ext>
              </c:extLst>
            </c:dLbl>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096E-47F3-B923-273078B36252}"/>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096E-47F3-B923-273078B36252}"/>
                </c:ext>
              </c:extLst>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096E-47F3-B923-273078B36252}"/>
                </c:ext>
              </c:extLst>
            </c:dLbl>
            <c:dLbl>
              <c:idx val="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096E-47F3-B923-273078B36252}"/>
                </c:ext>
              </c:extLst>
            </c:dLbl>
            <c:dLbl>
              <c:idx val="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096E-47F3-B923-273078B36252}"/>
                </c:ext>
              </c:extLst>
            </c:dLbl>
            <c:dLbl>
              <c:idx val="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096E-47F3-B923-273078B36252}"/>
                </c:ext>
              </c:extLst>
            </c:dLbl>
            <c:dLbl>
              <c:idx val="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8-096E-47F3-B923-273078B36252}"/>
                </c:ext>
              </c:extLst>
            </c:dLbl>
            <c:dLbl>
              <c:idx val="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096E-47F3-B923-273078B36252}"/>
                </c:ext>
              </c:extLst>
            </c:dLbl>
            <c:dLbl>
              <c:idx val="9"/>
              <c:layout>
                <c:manualLayout>
                  <c:x val="-3.2333333333333332E-2"/>
                  <c:y val="0"/>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A-096E-47F3-B923-273078B36252}"/>
                </c:ext>
              </c:extLst>
            </c:dLbl>
            <c:spPr>
              <a:noFill/>
            </c:spPr>
            <c:txPr>
              <a:bodyPr/>
              <a:lstStyle/>
              <a:p>
                <a:pPr>
                  <a:defRPr sz="1200"/>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'Table A1'!$B$4:$M$4</c:f>
              <c:strCache>
                <c:ptCount val="10"/>
                <c:pt idx="0">
                  <c:v>2008-09</c:v>
                </c:pt>
                <c:pt idx="1">
                  <c:v>2009-10</c:v>
                </c:pt>
                <c:pt idx="2">
                  <c:v>2010-11</c:v>
                </c:pt>
                <c:pt idx="3">
                  <c:v>2011-12</c:v>
                </c:pt>
                <c:pt idx="4">
                  <c:v>2012-13</c:v>
                </c:pt>
                <c:pt idx="5">
                  <c:v>2013-14</c:v>
                </c:pt>
                <c:pt idx="6">
                  <c:v>2014-15</c:v>
                </c:pt>
                <c:pt idx="7">
                  <c:v>2015-16</c:v>
                </c:pt>
                <c:pt idx="8">
                  <c:v>2016-17</c:v>
                </c:pt>
                <c:pt idx="9">
                  <c:v>2017-18</c:v>
                </c:pt>
              </c:strCache>
            </c:strRef>
          </c:cat>
          <c:val>
            <c:numRef>
              <c:f>'Table A1'!$B$17:$M$17</c:f>
              <c:numCache>
                <c:formatCode>#,##0.0</c:formatCode>
                <c:ptCount val="10"/>
                <c:pt idx="0">
                  <c:v>104.97499999999999</c:v>
                </c:pt>
                <c:pt idx="1">
                  <c:v>111.47499999999999</c:v>
                </c:pt>
                <c:pt idx="2">
                  <c:v>127.672</c:v>
                </c:pt>
                <c:pt idx="3">
                  <c:v>103.435</c:v>
                </c:pt>
                <c:pt idx="4">
                  <c:v>100.57299999999999</c:v>
                </c:pt>
                <c:pt idx="5">
                  <c:v>64.876999999999995</c:v>
                </c:pt>
                <c:pt idx="6">
                  <c:v>63.624000000000002</c:v>
                </c:pt>
                <c:pt idx="7">
                  <c:v>66.138467000000006</c:v>
                </c:pt>
                <c:pt idx="8">
                  <c:v>70.093338000000003</c:v>
                </c:pt>
                <c:pt idx="9">
                  <c:v>76.328935000000001</c:v>
                </c:pt>
              </c:numCache>
            </c:numRef>
          </c:val>
          <c:extLst xmlns:c16r2="http://schemas.microsoft.com/office/drawing/2015/06/chart">
            <c:ext xmlns:c16="http://schemas.microsoft.com/office/drawing/2014/chart" uri="{C3380CC4-5D6E-409C-BE32-E72D297353CC}">
              <c16:uniqueId val="{0000000B-096E-47F3-B923-273078B36252}"/>
            </c:ext>
          </c:extLst>
        </c:ser>
        <c:ser>
          <c:idx val="1"/>
          <c:order val="2"/>
          <c:tx>
            <c:strRef>
              <c:f>'Table A1'!$A$19</c:f>
              <c:strCache>
                <c:ptCount val="1"/>
                <c:pt idx="0">
                  <c:v>Fees</c:v>
                </c:pt>
              </c:strCache>
            </c:strRef>
          </c:tx>
          <c:spPr>
            <a:solidFill>
              <a:srgbClr val="008080"/>
            </a:solidFill>
            <a:ln>
              <a:noFill/>
            </a:ln>
          </c:spPr>
          <c:dLbls>
            <c:dLbl>
              <c:idx val="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C-096E-47F3-B923-273078B36252}"/>
                </c:ext>
              </c:extLst>
            </c:dLbl>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D-096E-47F3-B923-273078B36252}"/>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E-096E-47F3-B923-273078B36252}"/>
                </c:ext>
              </c:extLst>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F-096E-47F3-B923-273078B36252}"/>
                </c:ext>
              </c:extLst>
            </c:dLbl>
            <c:dLbl>
              <c:idx val="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0-096E-47F3-B923-273078B36252}"/>
                </c:ext>
              </c:extLst>
            </c:dLbl>
            <c:dLbl>
              <c:idx val="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1-096E-47F3-B923-273078B36252}"/>
                </c:ext>
              </c:extLst>
            </c:dLbl>
            <c:dLbl>
              <c:idx val="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2-096E-47F3-B923-273078B36252}"/>
                </c:ext>
              </c:extLst>
            </c:dLbl>
            <c:dLbl>
              <c:idx val="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3-096E-47F3-B923-273078B36252}"/>
                </c:ext>
              </c:extLst>
            </c:dLbl>
            <c:dLbl>
              <c:idx val="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4-096E-47F3-B923-273078B36252}"/>
                </c:ext>
              </c:extLst>
            </c:dLbl>
            <c:dLbl>
              <c:idx val="9"/>
              <c:layout>
                <c:manualLayout>
                  <c:x val="-3.0481481481481481E-2"/>
                  <c:y val="0"/>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5-096E-47F3-B923-273078B36252}"/>
                </c:ext>
              </c:extLst>
            </c:dLbl>
            <c:spPr>
              <a:noFill/>
            </c:spPr>
            <c:txPr>
              <a:bodyPr/>
              <a:lstStyle/>
              <a:p>
                <a:pPr>
                  <a:defRPr sz="1200"/>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'Table A1'!$B$4:$M$4</c:f>
              <c:strCache>
                <c:ptCount val="10"/>
                <c:pt idx="0">
                  <c:v>2008-09</c:v>
                </c:pt>
                <c:pt idx="1">
                  <c:v>2009-10</c:v>
                </c:pt>
                <c:pt idx="2">
                  <c:v>2010-11</c:v>
                </c:pt>
                <c:pt idx="3">
                  <c:v>2011-12</c:v>
                </c:pt>
                <c:pt idx="4">
                  <c:v>2012-13</c:v>
                </c:pt>
                <c:pt idx="5">
                  <c:v>2013-14</c:v>
                </c:pt>
                <c:pt idx="6">
                  <c:v>2014-15</c:v>
                </c:pt>
                <c:pt idx="7">
                  <c:v>2015-16</c:v>
                </c:pt>
                <c:pt idx="8">
                  <c:v>2016-17</c:v>
                </c:pt>
                <c:pt idx="9">
                  <c:v>2017-18</c:v>
                </c:pt>
              </c:strCache>
            </c:strRef>
          </c:cat>
          <c:val>
            <c:numRef>
              <c:f>'Table A1'!$B$22:$M$22</c:f>
              <c:numCache>
                <c:formatCode>#,##0.0</c:formatCode>
                <c:ptCount val="10"/>
                <c:pt idx="0">
                  <c:v>190.63800000000001</c:v>
                </c:pt>
                <c:pt idx="1">
                  <c:v>213.73699999999999</c:v>
                </c:pt>
                <c:pt idx="2">
                  <c:v>220.83</c:v>
                </c:pt>
                <c:pt idx="3">
                  <c:v>222.96700000000001</c:v>
                </c:pt>
                <c:pt idx="4">
                  <c:v>229.47900000000001</c:v>
                </c:pt>
                <c:pt idx="5">
                  <c:v>240.745</c:v>
                </c:pt>
                <c:pt idx="6">
                  <c:v>248.97399999999999</c:v>
                </c:pt>
                <c:pt idx="7">
                  <c:v>254.04100700000001</c:v>
                </c:pt>
                <c:pt idx="8">
                  <c:v>259.04138399999999</c:v>
                </c:pt>
                <c:pt idx="9">
                  <c:v>278.04942299999999</c:v>
                </c:pt>
              </c:numCache>
            </c:numRef>
          </c:val>
          <c:extLst xmlns:c16r2="http://schemas.microsoft.com/office/drawing/2015/06/chart">
            <c:ext xmlns:c16="http://schemas.microsoft.com/office/drawing/2014/chart" uri="{C3380CC4-5D6E-409C-BE32-E72D297353CC}">
              <c16:uniqueId val="{00000016-096E-47F3-B923-273078B36252}"/>
            </c:ext>
          </c:extLst>
        </c:ser>
        <c:ser>
          <c:idx val="2"/>
          <c:order val="3"/>
          <c:tx>
            <c:strRef>
              <c:f>'Table A1'!$A$25</c:f>
              <c:strCache>
                <c:ptCount val="1"/>
                <c:pt idx="0">
                  <c:v>Loans</c:v>
                </c:pt>
              </c:strCache>
            </c:strRef>
          </c:tx>
          <c:spPr>
            <a:solidFill>
              <a:srgbClr val="81C9BB"/>
            </a:solidFill>
            <a:ln>
              <a:noFill/>
            </a:ln>
          </c:spPr>
          <c:dLbls>
            <c:dLbl>
              <c:idx val="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7-096E-47F3-B923-273078B36252}"/>
                </c:ext>
              </c:extLst>
            </c:dLbl>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8-096E-47F3-B923-273078B36252}"/>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9-096E-47F3-B923-273078B36252}"/>
                </c:ext>
              </c:extLst>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A-096E-47F3-B923-273078B36252}"/>
                </c:ext>
              </c:extLst>
            </c:dLbl>
            <c:dLbl>
              <c:idx val="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B-096E-47F3-B923-273078B36252}"/>
                </c:ext>
              </c:extLst>
            </c:dLbl>
            <c:dLbl>
              <c:idx val="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C-096E-47F3-B923-273078B36252}"/>
                </c:ext>
              </c:extLst>
            </c:dLbl>
            <c:dLbl>
              <c:idx val="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D-096E-47F3-B923-273078B36252}"/>
                </c:ext>
              </c:extLst>
            </c:dLbl>
            <c:dLbl>
              <c:idx val="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E-096E-47F3-B923-273078B36252}"/>
                </c:ext>
              </c:extLst>
            </c:dLbl>
            <c:dLbl>
              <c:idx val="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F-096E-47F3-B923-273078B36252}"/>
                </c:ext>
              </c:extLst>
            </c:dLbl>
            <c:dLbl>
              <c:idx val="9"/>
              <c:layout>
                <c:manualLayout>
                  <c:x val="-3.0481481481481481E-2"/>
                  <c:y val="0"/>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20-096E-47F3-B923-273078B36252}"/>
                </c:ext>
              </c:extLst>
            </c:dLbl>
            <c:spPr>
              <a:noFill/>
            </c:spPr>
            <c:txPr>
              <a:bodyPr/>
              <a:lstStyle/>
              <a:p>
                <a:pPr>
                  <a:defRPr sz="1200"/>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'Table A1'!$B$4:$M$4</c:f>
              <c:strCache>
                <c:ptCount val="10"/>
                <c:pt idx="0">
                  <c:v>2008-09</c:v>
                </c:pt>
                <c:pt idx="1">
                  <c:v>2009-10</c:v>
                </c:pt>
                <c:pt idx="2">
                  <c:v>2010-11</c:v>
                </c:pt>
                <c:pt idx="3">
                  <c:v>2011-12</c:v>
                </c:pt>
                <c:pt idx="4">
                  <c:v>2012-13</c:v>
                </c:pt>
                <c:pt idx="5">
                  <c:v>2013-14</c:v>
                </c:pt>
                <c:pt idx="6">
                  <c:v>2014-15</c:v>
                </c:pt>
                <c:pt idx="7">
                  <c:v>2015-16</c:v>
                </c:pt>
                <c:pt idx="8">
                  <c:v>2016-17</c:v>
                </c:pt>
                <c:pt idx="9">
                  <c:v>2017-18</c:v>
                </c:pt>
              </c:strCache>
            </c:strRef>
          </c:cat>
          <c:val>
            <c:numRef>
              <c:f>'Table A1'!$B$27:$M$27</c:f>
              <c:numCache>
                <c:formatCode>#,##0.0</c:formatCode>
                <c:ptCount val="10"/>
                <c:pt idx="0">
                  <c:v>186.95400000000001</c:v>
                </c:pt>
                <c:pt idx="1">
                  <c:v>197.17400000000001</c:v>
                </c:pt>
                <c:pt idx="2">
                  <c:v>223.34899999999999</c:v>
                </c:pt>
                <c:pt idx="3">
                  <c:v>243.90600000000001</c:v>
                </c:pt>
                <c:pt idx="4">
                  <c:v>254.28</c:v>
                </c:pt>
                <c:pt idx="5">
                  <c:v>429.58699999999999</c:v>
                </c:pt>
                <c:pt idx="6">
                  <c:v>468.846</c:v>
                </c:pt>
                <c:pt idx="7">
                  <c:v>493.156091</c:v>
                </c:pt>
                <c:pt idx="8">
                  <c:v>515.54629399999999</c:v>
                </c:pt>
                <c:pt idx="9">
                  <c:v>528.35638100000006</c:v>
                </c:pt>
              </c:numCache>
            </c:numRef>
          </c:val>
          <c:extLst xmlns:c16r2="http://schemas.microsoft.com/office/drawing/2015/06/chart">
            <c:ext xmlns:c16="http://schemas.microsoft.com/office/drawing/2014/chart" uri="{C3380CC4-5D6E-409C-BE32-E72D297353CC}">
              <c16:uniqueId val="{00000021-096E-47F3-B923-273078B36252}"/>
            </c:ext>
          </c:extLst>
        </c:ser>
        <c:dLbls>
          <c:showLegendKey val="0"/>
          <c:showVal val="0"/>
          <c:showCatName val="0"/>
          <c:showSerName val="0"/>
          <c:showPercent val="0"/>
          <c:showBubbleSize val="0"/>
        </c:dLbls>
        <c:axId val="170106880"/>
        <c:axId val="170108416"/>
      </c:areaChart>
      <c:catAx>
        <c:axId val="170070400"/>
        <c:scaling>
          <c:orientation val="minMax"/>
        </c:scaling>
        <c:delete val="0"/>
        <c:axPos val="b"/>
        <c:numFmt formatCode="General" sourceLinked="1"/>
        <c:majorTickMark val="out"/>
        <c:minorTickMark val="none"/>
        <c:tickLblPos val="nextTo"/>
        <c:txPr>
          <a:bodyPr/>
          <a:lstStyle/>
          <a:p>
            <a:pPr>
              <a:defRPr sz="1200"/>
            </a:pPr>
            <a:endParaRPr lang="en-US"/>
          </a:p>
        </c:txPr>
        <c:crossAx val="170071936"/>
        <c:crosses val="autoZero"/>
        <c:auto val="1"/>
        <c:lblAlgn val="ctr"/>
        <c:lblOffset val="100"/>
        <c:noMultiLvlLbl val="0"/>
      </c:catAx>
      <c:valAx>
        <c:axId val="170071936"/>
        <c:scaling>
          <c:orientation val="minMax"/>
        </c:scaling>
        <c:delete val="0"/>
        <c:axPos val="l"/>
        <c:majorGridlines>
          <c:spPr>
            <a:ln>
              <a:solidFill>
                <a:schemeClr val="bg1">
                  <a:lumMod val="85000"/>
                </a:schemeClr>
              </a:solidFill>
            </a:ln>
          </c:spPr>
        </c:majorGridlines>
        <c:title>
          <c:tx>
            <c:strRef>
              <c:f>'Table A1'!$A$12</c:f>
              <c:strCache>
                <c:ptCount val="1"/>
                <c:pt idx="0">
                  <c:v>Amount (£ million)</c:v>
                </c:pt>
              </c:strCache>
            </c:strRef>
          </c:tx>
          <c:overlay val="0"/>
          <c:txPr>
            <a:bodyPr rot="-5400000" vert="horz"/>
            <a:lstStyle/>
            <a:p>
              <a:pPr>
                <a:defRPr sz="1200"/>
              </a:pPr>
              <a:endParaRPr lang="en-US"/>
            </a:p>
          </c:txPr>
        </c:title>
        <c:numFmt formatCode="#,##0" sourceLinked="0"/>
        <c:majorTickMark val="out"/>
        <c:minorTickMark val="none"/>
        <c:tickLblPos val="nextTo"/>
        <c:txPr>
          <a:bodyPr/>
          <a:lstStyle/>
          <a:p>
            <a:pPr>
              <a:defRPr sz="1200"/>
            </a:pPr>
            <a:endParaRPr lang="en-US"/>
          </a:p>
        </c:txPr>
        <c:crossAx val="170070400"/>
        <c:crosses val="autoZero"/>
        <c:crossBetween val="midCat"/>
      </c:valAx>
      <c:catAx>
        <c:axId val="170106880"/>
        <c:scaling>
          <c:orientation val="minMax"/>
        </c:scaling>
        <c:delete val="1"/>
        <c:axPos val="b"/>
        <c:numFmt formatCode="General" sourceLinked="1"/>
        <c:majorTickMark val="out"/>
        <c:minorTickMark val="none"/>
        <c:tickLblPos val="nextTo"/>
        <c:crossAx val="170108416"/>
        <c:crosses val="autoZero"/>
        <c:auto val="1"/>
        <c:lblAlgn val="ctr"/>
        <c:lblOffset val="100"/>
        <c:noMultiLvlLbl val="0"/>
      </c:catAx>
      <c:valAx>
        <c:axId val="170108416"/>
        <c:scaling>
          <c:orientation val="minMax"/>
        </c:scaling>
        <c:delete val="0"/>
        <c:axPos val="r"/>
        <c:numFmt formatCode="#,##0" sourceLinked="0"/>
        <c:majorTickMark val="out"/>
        <c:minorTickMark val="none"/>
        <c:tickLblPos val="nextTo"/>
        <c:txPr>
          <a:bodyPr/>
          <a:lstStyle/>
          <a:p>
            <a:pPr>
              <a:defRPr sz="1000">
                <a:solidFill>
                  <a:schemeClr val="bg1">
                    <a:lumMod val="65000"/>
                  </a:schemeClr>
                </a:solidFill>
              </a:defRPr>
            </a:pPr>
            <a:endParaRPr lang="en-US"/>
          </a:p>
        </c:txPr>
        <c:crossAx val="170106880"/>
        <c:crosses val="max"/>
        <c:crossBetween val="midCat"/>
      </c:valAx>
    </c:plotArea>
    <c:legend>
      <c:legendPos val="b"/>
      <c:legendEntry>
        <c:idx val="0"/>
        <c:delete val="1"/>
      </c:legendEntry>
      <c:overlay val="0"/>
      <c:txPr>
        <a:bodyPr/>
        <a:lstStyle/>
        <a:p>
          <a:pPr>
            <a:defRPr sz="1200"/>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3"/>
          <c:order val="0"/>
          <c:tx>
            <c:strRef>
              <c:f>'Figure 6.1'!$A$34</c:f>
              <c:strCache>
                <c:ptCount val="1"/>
                <c:pt idx="0">
                  <c:v>Discretionary Fund</c:v>
                </c:pt>
              </c:strCache>
            </c:strRef>
          </c:tx>
          <c:spPr>
            <a:solidFill>
              <a:srgbClr val="002060">
                <a:alpha val="50000"/>
              </a:srgbClr>
            </a:solidFill>
            <a:ln>
              <a:noFill/>
            </a:ln>
          </c:spPr>
          <c:invertIfNegative val="0"/>
          <c:cat>
            <c:strRef>
              <c:f>'Figure 6.1'!$B$33:$K$33</c:f>
              <c:strCache>
                <c:ptCount val="10"/>
                <c:pt idx="0">
                  <c:v>2007-08</c:v>
                </c:pt>
                <c:pt idx="1">
                  <c:v>2008-09</c:v>
                </c:pt>
                <c:pt idx="2">
                  <c:v>2009-10</c:v>
                </c:pt>
                <c:pt idx="3">
                  <c:v>2010-11</c:v>
                </c:pt>
                <c:pt idx="4">
                  <c:v>2011-12</c:v>
                </c:pt>
                <c:pt idx="5">
                  <c:v>2012-13</c:v>
                </c:pt>
                <c:pt idx="6">
                  <c:v>2013-14</c:v>
                </c:pt>
                <c:pt idx="7">
                  <c:v>2014-15</c:v>
                </c:pt>
                <c:pt idx="8">
                  <c:v>2015-16</c:v>
                </c:pt>
                <c:pt idx="9">
                  <c:v>2016-17</c:v>
                </c:pt>
              </c:strCache>
            </c:strRef>
          </c:cat>
          <c:val>
            <c:numRef>
              <c:f>'Figure 6.1'!$B$35:$K$35</c:f>
              <c:numCache>
                <c:formatCode>#,##0</c:formatCode>
                <c:ptCount val="10"/>
                <c:pt idx="0">
                  <c:v>10930</c:v>
                </c:pt>
                <c:pt idx="1">
                  <c:v>15995</c:v>
                </c:pt>
                <c:pt idx="2">
                  <c:v>16310</c:v>
                </c:pt>
                <c:pt idx="3">
                  <c:v>18230</c:v>
                </c:pt>
                <c:pt idx="4">
                  <c:v>18805</c:v>
                </c:pt>
                <c:pt idx="5">
                  <c:v>17530</c:v>
                </c:pt>
                <c:pt idx="6">
                  <c:v>17510</c:v>
                </c:pt>
                <c:pt idx="7">
                  <c:v>14690</c:v>
                </c:pt>
                <c:pt idx="8">
                  <c:v>13460</c:v>
                </c:pt>
                <c:pt idx="9">
                  <c:v>15425</c:v>
                </c:pt>
              </c:numCache>
            </c:numRef>
          </c:val>
          <c:extLst xmlns:c16r2="http://schemas.microsoft.com/office/drawing/2015/06/chart">
            <c:ext xmlns:c16="http://schemas.microsoft.com/office/drawing/2014/chart" uri="{C3380CC4-5D6E-409C-BE32-E72D297353CC}">
              <c16:uniqueId val="{00000000-3879-4DE3-AEF6-E4AC223D896B}"/>
            </c:ext>
          </c:extLst>
        </c:ser>
        <c:ser>
          <c:idx val="1"/>
          <c:order val="2"/>
          <c:tx>
            <c:strRef>
              <c:f>'Figure 6.1'!$A$38</c:f>
              <c:strCache>
                <c:ptCount val="1"/>
                <c:pt idx="0">
                  <c:v>Discretionary Childcare Fund</c:v>
                </c:pt>
              </c:strCache>
            </c:strRef>
          </c:tx>
          <c:spPr>
            <a:solidFill>
              <a:srgbClr val="008080">
                <a:alpha val="50000"/>
              </a:srgbClr>
            </a:solidFill>
            <a:ln>
              <a:noFill/>
            </a:ln>
          </c:spPr>
          <c:invertIfNegative val="0"/>
          <c:cat>
            <c:strRef>
              <c:f>'Figure 6.1'!$B$33:$K$33</c:f>
              <c:strCache>
                <c:ptCount val="10"/>
                <c:pt idx="0">
                  <c:v>2007-08</c:v>
                </c:pt>
                <c:pt idx="1">
                  <c:v>2008-09</c:v>
                </c:pt>
                <c:pt idx="2">
                  <c:v>2009-10</c:v>
                </c:pt>
                <c:pt idx="3">
                  <c:v>2010-11</c:v>
                </c:pt>
                <c:pt idx="4">
                  <c:v>2011-12</c:v>
                </c:pt>
                <c:pt idx="5">
                  <c:v>2012-13</c:v>
                </c:pt>
                <c:pt idx="6">
                  <c:v>2013-14</c:v>
                </c:pt>
                <c:pt idx="7">
                  <c:v>2014-15</c:v>
                </c:pt>
                <c:pt idx="8">
                  <c:v>2015-16</c:v>
                </c:pt>
                <c:pt idx="9">
                  <c:v>2016-17</c:v>
                </c:pt>
              </c:strCache>
            </c:strRef>
          </c:cat>
          <c:val>
            <c:numRef>
              <c:f>'Figure 6.1'!$B$39:$K$39</c:f>
              <c:numCache>
                <c:formatCode>#,##0</c:formatCode>
                <c:ptCount val="10"/>
                <c:pt idx="0">
                  <c:v>5855</c:v>
                </c:pt>
                <c:pt idx="1">
                  <c:v>1480</c:v>
                </c:pt>
                <c:pt idx="2">
                  <c:v>1360</c:v>
                </c:pt>
                <c:pt idx="3">
                  <c:v>1315</c:v>
                </c:pt>
                <c:pt idx="4">
                  <c:v>1505</c:v>
                </c:pt>
                <c:pt idx="5">
                  <c:v>840</c:v>
                </c:pt>
                <c:pt idx="6">
                  <c:v>1015</c:v>
                </c:pt>
                <c:pt idx="7">
                  <c:v>865</c:v>
                </c:pt>
                <c:pt idx="8">
                  <c:v>895</c:v>
                </c:pt>
                <c:pt idx="9">
                  <c:v>870</c:v>
                </c:pt>
              </c:numCache>
            </c:numRef>
          </c:val>
          <c:extLst xmlns:c16r2="http://schemas.microsoft.com/office/drawing/2015/06/chart">
            <c:ext xmlns:c16="http://schemas.microsoft.com/office/drawing/2014/chart" uri="{C3380CC4-5D6E-409C-BE32-E72D297353CC}">
              <c16:uniqueId val="{00000001-3879-4DE3-AEF6-E4AC223D896B}"/>
            </c:ext>
          </c:extLst>
        </c:ser>
        <c:dLbls>
          <c:showLegendKey val="0"/>
          <c:showVal val="0"/>
          <c:showCatName val="0"/>
          <c:showSerName val="0"/>
          <c:showPercent val="0"/>
          <c:showBubbleSize val="0"/>
        </c:dLbls>
        <c:gapWidth val="150"/>
        <c:axId val="187950976"/>
        <c:axId val="187506688"/>
      </c:barChart>
      <c:lineChart>
        <c:grouping val="standard"/>
        <c:varyColors val="0"/>
        <c:ser>
          <c:idx val="2"/>
          <c:order val="1"/>
          <c:tx>
            <c:strRef>
              <c:f>'Figure 6.1'!$A$36</c:f>
              <c:strCache>
                <c:ptCount val="1"/>
                <c:pt idx="0">
                  <c:v>Amounts issued (£000s)</c:v>
                </c:pt>
              </c:strCache>
            </c:strRef>
          </c:tx>
          <c:spPr>
            <a:ln>
              <a:solidFill>
                <a:srgbClr val="002060"/>
              </a:solidFill>
            </a:ln>
          </c:spPr>
          <c:marker>
            <c:symbol val="square"/>
            <c:size val="5"/>
            <c:spPr>
              <a:solidFill>
                <a:srgbClr val="002060"/>
              </a:solidFill>
              <a:ln>
                <a:solidFill>
                  <a:srgbClr val="002060"/>
                </a:solidFill>
              </a:ln>
            </c:spPr>
          </c:marker>
          <c:cat>
            <c:strRef>
              <c:f>'Table 6.1'!$C$4:$L$4</c:f>
              <c:strCache>
                <c:ptCount val="10"/>
                <c:pt idx="0">
                  <c:v>2004-05</c:v>
                </c:pt>
                <c:pt idx="1">
                  <c:v>2007-08</c:v>
                </c:pt>
                <c:pt idx="2">
                  <c:v>2008-09</c:v>
                </c:pt>
                <c:pt idx="3">
                  <c:v>2009-10</c:v>
                </c:pt>
                <c:pt idx="4">
                  <c:v>2010-11</c:v>
                </c:pt>
                <c:pt idx="5">
                  <c:v>2011-12</c:v>
                </c:pt>
                <c:pt idx="6">
                  <c:v>2012-13</c:v>
                </c:pt>
                <c:pt idx="7">
                  <c:v>2013-14</c:v>
                </c:pt>
                <c:pt idx="8">
                  <c:v>2014-15</c:v>
                </c:pt>
                <c:pt idx="9">
                  <c:v>2015-16</c:v>
                </c:pt>
              </c:strCache>
            </c:strRef>
          </c:cat>
          <c:val>
            <c:numRef>
              <c:f>'Figure 6.1'!$B$36:$K$36</c:f>
              <c:numCache>
                <c:formatCode>#,##0</c:formatCode>
                <c:ptCount val="10"/>
                <c:pt idx="0">
                  <c:v>6794</c:v>
                </c:pt>
                <c:pt idx="1">
                  <c:v>11492</c:v>
                </c:pt>
                <c:pt idx="2">
                  <c:v>12928</c:v>
                </c:pt>
                <c:pt idx="3">
                  <c:v>12396</c:v>
                </c:pt>
                <c:pt idx="4">
                  <c:v>13219</c:v>
                </c:pt>
                <c:pt idx="5">
                  <c:v>14173</c:v>
                </c:pt>
                <c:pt idx="6">
                  <c:v>13932</c:v>
                </c:pt>
                <c:pt idx="7">
                  <c:v>13271</c:v>
                </c:pt>
                <c:pt idx="8">
                  <c:v>13276</c:v>
                </c:pt>
                <c:pt idx="9">
                  <c:v>13089</c:v>
                </c:pt>
              </c:numCache>
            </c:numRef>
          </c:val>
          <c:smooth val="0"/>
          <c:extLst xmlns:c16r2="http://schemas.microsoft.com/office/drawing/2015/06/chart">
            <c:ext xmlns:c16="http://schemas.microsoft.com/office/drawing/2014/chart" uri="{C3380CC4-5D6E-409C-BE32-E72D297353CC}">
              <c16:uniqueId val="{00000002-3879-4DE3-AEF6-E4AC223D896B}"/>
            </c:ext>
          </c:extLst>
        </c:ser>
        <c:ser>
          <c:idx val="5"/>
          <c:order val="3"/>
          <c:tx>
            <c:strRef>
              <c:f>'Figure 6.1'!$A$40</c:f>
              <c:strCache>
                <c:ptCount val="1"/>
                <c:pt idx="0">
                  <c:v>Amounts issued (£000s)</c:v>
                </c:pt>
              </c:strCache>
            </c:strRef>
          </c:tx>
          <c:spPr>
            <a:ln>
              <a:solidFill>
                <a:srgbClr val="008080"/>
              </a:solidFill>
            </a:ln>
          </c:spPr>
          <c:marker>
            <c:symbol val="triangle"/>
            <c:size val="5"/>
            <c:spPr>
              <a:solidFill>
                <a:srgbClr val="008080"/>
              </a:solidFill>
              <a:ln>
                <a:solidFill>
                  <a:srgbClr val="008080"/>
                </a:solidFill>
              </a:ln>
            </c:spPr>
          </c:marker>
          <c:cat>
            <c:strRef>
              <c:f>'Table 6.1'!$C$4:$L$4</c:f>
              <c:strCache>
                <c:ptCount val="10"/>
                <c:pt idx="0">
                  <c:v>2004-05</c:v>
                </c:pt>
                <c:pt idx="1">
                  <c:v>2007-08</c:v>
                </c:pt>
                <c:pt idx="2">
                  <c:v>2008-09</c:v>
                </c:pt>
                <c:pt idx="3">
                  <c:v>2009-10</c:v>
                </c:pt>
                <c:pt idx="4">
                  <c:v>2010-11</c:v>
                </c:pt>
                <c:pt idx="5">
                  <c:v>2011-12</c:v>
                </c:pt>
                <c:pt idx="6">
                  <c:v>2012-13</c:v>
                </c:pt>
                <c:pt idx="7">
                  <c:v>2013-14</c:v>
                </c:pt>
                <c:pt idx="8">
                  <c:v>2014-15</c:v>
                </c:pt>
                <c:pt idx="9">
                  <c:v>2015-16</c:v>
                </c:pt>
              </c:strCache>
            </c:strRef>
          </c:cat>
          <c:val>
            <c:numRef>
              <c:f>'Figure 6.1'!$B$40:$K$40</c:f>
              <c:numCache>
                <c:formatCode>#,##0</c:formatCode>
                <c:ptCount val="10"/>
                <c:pt idx="0">
                  <c:v>6537</c:v>
                </c:pt>
                <c:pt idx="1">
                  <c:v>3341</c:v>
                </c:pt>
                <c:pt idx="2">
                  <c:v>3453</c:v>
                </c:pt>
                <c:pt idx="3">
                  <c:v>3596</c:v>
                </c:pt>
                <c:pt idx="4">
                  <c:v>4183</c:v>
                </c:pt>
                <c:pt idx="5">
                  <c:v>2341</c:v>
                </c:pt>
                <c:pt idx="6">
                  <c:v>2574</c:v>
                </c:pt>
                <c:pt idx="7">
                  <c:v>2817</c:v>
                </c:pt>
                <c:pt idx="8">
                  <c:v>2823</c:v>
                </c:pt>
                <c:pt idx="9">
                  <c:v>3551</c:v>
                </c:pt>
              </c:numCache>
            </c:numRef>
          </c:val>
          <c:smooth val="0"/>
          <c:extLst xmlns:c16r2="http://schemas.microsoft.com/office/drawing/2015/06/chart">
            <c:ext xmlns:c16="http://schemas.microsoft.com/office/drawing/2014/chart" uri="{C3380CC4-5D6E-409C-BE32-E72D297353CC}">
              <c16:uniqueId val="{00000003-3879-4DE3-AEF6-E4AC223D896B}"/>
            </c:ext>
          </c:extLst>
        </c:ser>
        <c:dLbls>
          <c:showLegendKey val="0"/>
          <c:showVal val="0"/>
          <c:showCatName val="0"/>
          <c:showSerName val="0"/>
          <c:showPercent val="0"/>
          <c:showBubbleSize val="0"/>
        </c:dLbls>
        <c:marker val="1"/>
        <c:smooth val="0"/>
        <c:axId val="187950976"/>
        <c:axId val="187506688"/>
      </c:lineChart>
      <c:catAx>
        <c:axId val="187950976"/>
        <c:scaling>
          <c:orientation val="minMax"/>
        </c:scaling>
        <c:delete val="0"/>
        <c:axPos val="b"/>
        <c:numFmt formatCode="General" sourceLinked="1"/>
        <c:majorTickMark val="out"/>
        <c:minorTickMark val="none"/>
        <c:tickLblPos val="nextTo"/>
        <c:txPr>
          <a:bodyPr/>
          <a:lstStyle/>
          <a:p>
            <a:pPr>
              <a:defRPr sz="1200"/>
            </a:pPr>
            <a:endParaRPr lang="en-US"/>
          </a:p>
        </c:txPr>
        <c:crossAx val="187506688"/>
        <c:crosses val="autoZero"/>
        <c:auto val="1"/>
        <c:lblAlgn val="ctr"/>
        <c:lblOffset val="100"/>
        <c:noMultiLvlLbl val="0"/>
      </c:catAx>
      <c:valAx>
        <c:axId val="187506688"/>
        <c:scaling>
          <c:orientation val="minMax"/>
        </c:scaling>
        <c:delete val="0"/>
        <c:axPos val="l"/>
        <c:majorGridlines>
          <c:spPr>
            <a:ln>
              <a:solidFill>
                <a:schemeClr val="bg1">
                  <a:lumMod val="95000"/>
                </a:schemeClr>
              </a:solidFill>
            </a:ln>
          </c:spPr>
        </c:majorGridlines>
        <c:numFmt formatCode="#,##0" sourceLinked="1"/>
        <c:majorTickMark val="out"/>
        <c:minorTickMark val="none"/>
        <c:tickLblPos val="nextTo"/>
        <c:txPr>
          <a:bodyPr/>
          <a:lstStyle/>
          <a:p>
            <a:pPr>
              <a:defRPr sz="1200"/>
            </a:pPr>
            <a:endParaRPr lang="en-US"/>
          </a:p>
        </c:txPr>
        <c:crossAx val="187950976"/>
        <c:crosses val="autoZero"/>
        <c:crossBetween val="between"/>
      </c:valAx>
    </c:plotArea>
    <c:legend>
      <c:legendPos val="b"/>
      <c:legendEntry>
        <c:idx val="0"/>
        <c:txPr>
          <a:bodyPr/>
          <a:lstStyle/>
          <a:p>
            <a:pPr>
              <a:defRPr sz="1200">
                <a:solidFill>
                  <a:sysClr val="windowText" lastClr="000000"/>
                </a:solidFill>
              </a:defRPr>
            </a:pPr>
            <a:endParaRPr lang="en-US"/>
          </a:p>
        </c:txPr>
      </c:legendEntry>
      <c:legendEntry>
        <c:idx val="1"/>
        <c:txPr>
          <a:bodyPr/>
          <a:lstStyle/>
          <a:p>
            <a:pPr>
              <a:defRPr sz="1200">
                <a:solidFill>
                  <a:sysClr val="windowText" lastClr="000000"/>
                </a:solidFill>
              </a:defRPr>
            </a:pPr>
            <a:endParaRPr lang="en-US"/>
          </a:p>
        </c:txPr>
      </c:legendEntry>
      <c:legendEntry>
        <c:idx val="2"/>
        <c:txPr>
          <a:bodyPr/>
          <a:lstStyle/>
          <a:p>
            <a:pPr>
              <a:defRPr sz="1200">
                <a:solidFill>
                  <a:schemeClr val="bg1"/>
                </a:solidFill>
              </a:defRPr>
            </a:pPr>
            <a:endParaRPr lang="en-US"/>
          </a:p>
        </c:txPr>
      </c:legendEntry>
      <c:legendEntry>
        <c:idx val="3"/>
        <c:txPr>
          <a:bodyPr/>
          <a:lstStyle/>
          <a:p>
            <a:pPr>
              <a:defRPr sz="1200">
                <a:solidFill>
                  <a:schemeClr val="bg1"/>
                </a:solidFill>
              </a:defRPr>
            </a:pPr>
            <a:endParaRPr lang="en-US"/>
          </a:p>
        </c:txPr>
      </c:legendEntry>
      <c:layout>
        <c:manualLayout>
          <c:xMode val="edge"/>
          <c:yMode val="edge"/>
          <c:x val="0.24610498687664042"/>
          <c:y val="0.85954602896860122"/>
          <c:w val="0.7281602508019831"/>
          <c:h val="0.12193545251288029"/>
        </c:manualLayout>
      </c:layout>
      <c:overlay val="0"/>
      <c:txPr>
        <a:bodyPr/>
        <a:lstStyle/>
        <a:p>
          <a:pPr>
            <a:defRPr sz="1200"/>
          </a:pPr>
          <a:endParaRPr lang="en-US"/>
        </a:p>
      </c:txPr>
    </c:legend>
    <c:plotVisOnly val="0"/>
    <c:dispBlanksAs val="gap"/>
    <c:showDLblsOverMax val="0"/>
  </c:chart>
  <c:spPr>
    <a:ln>
      <a:noFill/>
    </a:ln>
  </c:spPr>
  <c:printSettings>
    <c:headerFooter/>
    <c:pageMargins b="0.75" l="0.7" r="0.7" t="0.75" header="0.3" footer="0.3"/>
    <c:pageSetup/>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3"/>
          <c:order val="0"/>
          <c:tx>
            <c:strRef>
              <c:f>'Table A5'!$A$5</c:f>
              <c:strCache>
                <c:ptCount val="1"/>
                <c:pt idx="0">
                  <c:v>Total</c:v>
                </c:pt>
              </c:strCache>
            </c:strRef>
          </c:tx>
          <c:spPr>
            <a:ln>
              <a:solidFill>
                <a:srgbClr val="002060"/>
              </a:solidFill>
            </a:ln>
          </c:spPr>
          <c:marker>
            <c:symbol val="square"/>
            <c:size val="5"/>
            <c:spPr>
              <a:solidFill>
                <a:srgbClr val="002060"/>
              </a:solidFill>
              <a:ln>
                <a:solidFill>
                  <a:srgbClr val="002060"/>
                </a:solidFill>
              </a:ln>
            </c:spPr>
          </c:marker>
          <c:cat>
            <c:strRef>
              <c:f>'Table A5'!$B$4:$M$4</c:f>
              <c:strCache>
                <c:ptCount val="10"/>
                <c:pt idx="0">
                  <c:v>2008-09</c:v>
                </c:pt>
                <c:pt idx="1">
                  <c:v>2009-10</c:v>
                </c:pt>
                <c:pt idx="2">
                  <c:v>2010-11</c:v>
                </c:pt>
                <c:pt idx="3">
                  <c:v>2011-12</c:v>
                </c:pt>
                <c:pt idx="4">
                  <c:v>2012-13</c:v>
                </c:pt>
                <c:pt idx="5">
                  <c:v>2013-14</c:v>
                </c:pt>
                <c:pt idx="6">
                  <c:v>2014-15</c:v>
                </c:pt>
                <c:pt idx="7">
                  <c:v>2015-16</c:v>
                </c:pt>
                <c:pt idx="8">
                  <c:v>2016-17</c:v>
                </c:pt>
                <c:pt idx="9">
                  <c:v>2017-18</c:v>
                </c:pt>
              </c:strCache>
            </c:strRef>
          </c:cat>
          <c:val>
            <c:numRef>
              <c:f>'Table A5'!$B$5:$M$5</c:f>
              <c:numCache>
                <c:formatCode>#,##0</c:formatCode>
                <c:ptCount val="10"/>
                <c:pt idx="0">
                  <c:v>124845</c:v>
                </c:pt>
                <c:pt idx="1">
                  <c:v>130680</c:v>
                </c:pt>
                <c:pt idx="2">
                  <c:v>133175</c:v>
                </c:pt>
                <c:pt idx="3">
                  <c:v>133990</c:v>
                </c:pt>
                <c:pt idx="4">
                  <c:v>135375</c:v>
                </c:pt>
                <c:pt idx="5">
                  <c:v>137270</c:v>
                </c:pt>
                <c:pt idx="6">
                  <c:v>139370</c:v>
                </c:pt>
                <c:pt idx="7">
                  <c:v>141235</c:v>
                </c:pt>
                <c:pt idx="8">
                  <c:v>143500</c:v>
                </c:pt>
                <c:pt idx="9">
                  <c:v>147920</c:v>
                </c:pt>
              </c:numCache>
            </c:numRef>
          </c:val>
          <c:smooth val="0"/>
          <c:extLst xmlns:c16r2="http://schemas.microsoft.com/office/drawing/2015/06/chart">
            <c:ext xmlns:c16="http://schemas.microsoft.com/office/drawing/2014/chart" uri="{C3380CC4-5D6E-409C-BE32-E72D297353CC}">
              <c16:uniqueId val="{00000000-2077-46FE-9F53-E8AC656252BB}"/>
            </c:ext>
          </c:extLst>
        </c:ser>
        <c:ser>
          <c:idx val="0"/>
          <c:order val="1"/>
          <c:tx>
            <c:strRef>
              <c:f>'Table A5'!$A$6</c:f>
              <c:strCache>
                <c:ptCount val="1"/>
                <c:pt idx="0">
                  <c:v>17 and under</c:v>
                </c:pt>
              </c:strCache>
            </c:strRef>
          </c:tx>
          <c:marker>
            <c:symbol val="circle"/>
            <c:size val="5"/>
          </c:marker>
          <c:dPt>
            <c:idx val="6"/>
            <c:marker>
              <c:spPr>
                <a:solidFill>
                  <a:srgbClr val="4F81BD"/>
                </a:solidFill>
                <a:ln>
                  <a:solidFill>
                    <a:srgbClr val="4F81BD"/>
                  </a:solidFill>
                </a:ln>
              </c:spPr>
            </c:marker>
            <c:bubble3D val="0"/>
            <c:spPr>
              <a:ln>
                <a:solidFill>
                  <a:srgbClr val="4F81BD"/>
                </a:solidFill>
              </a:ln>
            </c:spPr>
            <c:extLst xmlns:c16r2="http://schemas.microsoft.com/office/drawing/2015/06/chart">
              <c:ext xmlns:c16="http://schemas.microsoft.com/office/drawing/2014/chart" uri="{C3380CC4-5D6E-409C-BE32-E72D297353CC}">
                <c16:uniqueId val="{00000002-2077-46FE-9F53-E8AC656252BB}"/>
              </c:ext>
            </c:extLst>
          </c:dPt>
          <c:cat>
            <c:strRef>
              <c:f>'Table A5'!$B$4:$M$4</c:f>
              <c:strCache>
                <c:ptCount val="10"/>
                <c:pt idx="0">
                  <c:v>2008-09</c:v>
                </c:pt>
                <c:pt idx="1">
                  <c:v>2009-10</c:v>
                </c:pt>
                <c:pt idx="2">
                  <c:v>2010-11</c:v>
                </c:pt>
                <c:pt idx="3">
                  <c:v>2011-12</c:v>
                </c:pt>
                <c:pt idx="4">
                  <c:v>2012-13</c:v>
                </c:pt>
                <c:pt idx="5">
                  <c:v>2013-14</c:v>
                </c:pt>
                <c:pt idx="6">
                  <c:v>2014-15</c:v>
                </c:pt>
                <c:pt idx="7">
                  <c:v>2015-16</c:v>
                </c:pt>
                <c:pt idx="8">
                  <c:v>2016-17</c:v>
                </c:pt>
                <c:pt idx="9">
                  <c:v>2017-18</c:v>
                </c:pt>
              </c:strCache>
            </c:strRef>
          </c:cat>
          <c:val>
            <c:numRef>
              <c:f>'Table A5'!$B$6:$M$6</c:f>
              <c:numCache>
                <c:formatCode>#,##0</c:formatCode>
                <c:ptCount val="10"/>
                <c:pt idx="0">
                  <c:v>11625</c:v>
                </c:pt>
                <c:pt idx="1">
                  <c:v>11820</c:v>
                </c:pt>
                <c:pt idx="2">
                  <c:v>10985</c:v>
                </c:pt>
                <c:pt idx="3">
                  <c:v>10795</c:v>
                </c:pt>
                <c:pt idx="4">
                  <c:v>10595</c:v>
                </c:pt>
                <c:pt idx="5">
                  <c:v>10625</c:v>
                </c:pt>
                <c:pt idx="6">
                  <c:v>10660</c:v>
                </c:pt>
                <c:pt idx="7">
                  <c:v>10365</c:v>
                </c:pt>
                <c:pt idx="8">
                  <c:v>10655</c:v>
                </c:pt>
                <c:pt idx="9">
                  <c:v>10275</c:v>
                </c:pt>
              </c:numCache>
            </c:numRef>
          </c:val>
          <c:smooth val="0"/>
          <c:extLst xmlns:c16r2="http://schemas.microsoft.com/office/drawing/2015/06/chart">
            <c:ext xmlns:c16="http://schemas.microsoft.com/office/drawing/2014/chart" uri="{C3380CC4-5D6E-409C-BE32-E72D297353CC}">
              <c16:uniqueId val="{00000003-2077-46FE-9F53-E8AC656252BB}"/>
            </c:ext>
          </c:extLst>
        </c:ser>
        <c:ser>
          <c:idx val="2"/>
          <c:order val="2"/>
          <c:tx>
            <c:strRef>
              <c:f>'Table A5'!$A$7</c:f>
              <c:strCache>
                <c:ptCount val="1"/>
                <c:pt idx="0">
                  <c:v>18 to 20</c:v>
                </c:pt>
              </c:strCache>
            </c:strRef>
          </c:tx>
          <c:spPr>
            <a:ln>
              <a:solidFill>
                <a:srgbClr val="008080"/>
              </a:solidFill>
            </a:ln>
          </c:spPr>
          <c:marker>
            <c:symbol val="triangle"/>
            <c:size val="5"/>
            <c:spPr>
              <a:solidFill>
                <a:srgbClr val="008080"/>
              </a:solidFill>
              <a:ln>
                <a:solidFill>
                  <a:srgbClr val="008080"/>
                </a:solidFill>
              </a:ln>
            </c:spPr>
          </c:marker>
          <c:cat>
            <c:strRef>
              <c:f>'Table A5'!$B$4:$M$4</c:f>
              <c:strCache>
                <c:ptCount val="10"/>
                <c:pt idx="0">
                  <c:v>2008-09</c:v>
                </c:pt>
                <c:pt idx="1">
                  <c:v>2009-10</c:v>
                </c:pt>
                <c:pt idx="2">
                  <c:v>2010-11</c:v>
                </c:pt>
                <c:pt idx="3">
                  <c:v>2011-12</c:v>
                </c:pt>
                <c:pt idx="4">
                  <c:v>2012-13</c:v>
                </c:pt>
                <c:pt idx="5">
                  <c:v>2013-14</c:v>
                </c:pt>
                <c:pt idx="6">
                  <c:v>2014-15</c:v>
                </c:pt>
                <c:pt idx="7">
                  <c:v>2015-16</c:v>
                </c:pt>
                <c:pt idx="8">
                  <c:v>2016-17</c:v>
                </c:pt>
                <c:pt idx="9">
                  <c:v>2017-18</c:v>
                </c:pt>
              </c:strCache>
            </c:strRef>
          </c:cat>
          <c:val>
            <c:numRef>
              <c:f>'Table A5'!$B$7:$M$7</c:f>
              <c:numCache>
                <c:formatCode>#,##0</c:formatCode>
                <c:ptCount val="10"/>
                <c:pt idx="0">
                  <c:v>61180</c:v>
                </c:pt>
                <c:pt idx="1">
                  <c:v>64480</c:v>
                </c:pt>
                <c:pt idx="2">
                  <c:v>66935</c:v>
                </c:pt>
                <c:pt idx="3">
                  <c:v>68490</c:v>
                </c:pt>
                <c:pt idx="4">
                  <c:v>70190</c:v>
                </c:pt>
                <c:pt idx="5">
                  <c:v>70315</c:v>
                </c:pt>
                <c:pt idx="6">
                  <c:v>71070</c:v>
                </c:pt>
                <c:pt idx="7">
                  <c:v>70825</c:v>
                </c:pt>
                <c:pt idx="8">
                  <c:v>71685</c:v>
                </c:pt>
                <c:pt idx="9">
                  <c:v>72360</c:v>
                </c:pt>
              </c:numCache>
            </c:numRef>
          </c:val>
          <c:smooth val="0"/>
          <c:extLst xmlns:c16r2="http://schemas.microsoft.com/office/drawing/2015/06/chart">
            <c:ext xmlns:c16="http://schemas.microsoft.com/office/drawing/2014/chart" uri="{C3380CC4-5D6E-409C-BE32-E72D297353CC}">
              <c16:uniqueId val="{00000004-2077-46FE-9F53-E8AC656252BB}"/>
            </c:ext>
          </c:extLst>
        </c:ser>
        <c:ser>
          <c:idx val="1"/>
          <c:order val="3"/>
          <c:tx>
            <c:strRef>
              <c:f>'Table A5'!$A$8</c:f>
              <c:strCache>
                <c:ptCount val="1"/>
                <c:pt idx="0">
                  <c:v>21 to 24</c:v>
                </c:pt>
              </c:strCache>
            </c:strRef>
          </c:tx>
          <c:spPr>
            <a:ln>
              <a:solidFill>
                <a:srgbClr val="81C9BB"/>
              </a:solidFill>
            </a:ln>
          </c:spPr>
          <c:marker>
            <c:symbol val="diamond"/>
            <c:size val="5"/>
            <c:spPr>
              <a:solidFill>
                <a:srgbClr val="81C9BB"/>
              </a:solidFill>
              <a:ln>
                <a:solidFill>
                  <a:srgbClr val="81C9BB"/>
                </a:solidFill>
              </a:ln>
            </c:spPr>
          </c:marker>
          <c:cat>
            <c:strRef>
              <c:f>'Table A5'!$B$4:$M$4</c:f>
              <c:strCache>
                <c:ptCount val="10"/>
                <c:pt idx="0">
                  <c:v>2008-09</c:v>
                </c:pt>
                <c:pt idx="1">
                  <c:v>2009-10</c:v>
                </c:pt>
                <c:pt idx="2">
                  <c:v>2010-11</c:v>
                </c:pt>
                <c:pt idx="3">
                  <c:v>2011-12</c:v>
                </c:pt>
                <c:pt idx="4">
                  <c:v>2012-13</c:v>
                </c:pt>
                <c:pt idx="5">
                  <c:v>2013-14</c:v>
                </c:pt>
                <c:pt idx="6">
                  <c:v>2014-15</c:v>
                </c:pt>
                <c:pt idx="7">
                  <c:v>2015-16</c:v>
                </c:pt>
                <c:pt idx="8">
                  <c:v>2016-17</c:v>
                </c:pt>
                <c:pt idx="9">
                  <c:v>2017-18</c:v>
                </c:pt>
              </c:strCache>
            </c:strRef>
          </c:cat>
          <c:val>
            <c:numRef>
              <c:f>'Table A5'!$B$8:$M$8</c:f>
              <c:numCache>
                <c:formatCode>#,##0</c:formatCode>
                <c:ptCount val="10"/>
                <c:pt idx="0">
                  <c:v>32010</c:v>
                </c:pt>
                <c:pt idx="1">
                  <c:v>33650</c:v>
                </c:pt>
                <c:pt idx="2">
                  <c:v>34185</c:v>
                </c:pt>
                <c:pt idx="3">
                  <c:v>33900</c:v>
                </c:pt>
                <c:pt idx="4">
                  <c:v>34615</c:v>
                </c:pt>
                <c:pt idx="5">
                  <c:v>35980</c:v>
                </c:pt>
                <c:pt idx="6">
                  <c:v>37290</c:v>
                </c:pt>
                <c:pt idx="7">
                  <c:v>39090</c:v>
                </c:pt>
                <c:pt idx="8">
                  <c:v>39165</c:v>
                </c:pt>
                <c:pt idx="9">
                  <c:v>40945</c:v>
                </c:pt>
              </c:numCache>
            </c:numRef>
          </c:val>
          <c:smooth val="0"/>
          <c:extLst xmlns:c16r2="http://schemas.microsoft.com/office/drawing/2015/06/chart">
            <c:ext xmlns:c16="http://schemas.microsoft.com/office/drawing/2014/chart" uri="{C3380CC4-5D6E-409C-BE32-E72D297353CC}">
              <c16:uniqueId val="{00000005-2077-46FE-9F53-E8AC656252BB}"/>
            </c:ext>
          </c:extLst>
        </c:ser>
        <c:ser>
          <c:idx val="4"/>
          <c:order val="4"/>
          <c:tx>
            <c:strRef>
              <c:f>'Table A5'!$A$9</c:f>
              <c:strCache>
                <c:ptCount val="1"/>
                <c:pt idx="0">
                  <c:v>25 and over</c:v>
                </c:pt>
              </c:strCache>
            </c:strRef>
          </c:tx>
          <c:spPr>
            <a:ln>
              <a:solidFill>
                <a:srgbClr val="646464"/>
              </a:solidFill>
            </a:ln>
          </c:spPr>
          <c:marker>
            <c:symbol val="diamond"/>
            <c:size val="5"/>
            <c:spPr>
              <a:solidFill>
                <a:srgbClr val="646464"/>
              </a:solidFill>
              <a:ln>
                <a:solidFill>
                  <a:srgbClr val="646464"/>
                </a:solidFill>
              </a:ln>
            </c:spPr>
          </c:marker>
          <c:cat>
            <c:strRef>
              <c:f>'Table A5'!$B$4:$M$4</c:f>
              <c:strCache>
                <c:ptCount val="10"/>
                <c:pt idx="0">
                  <c:v>2008-09</c:v>
                </c:pt>
                <c:pt idx="1">
                  <c:v>2009-10</c:v>
                </c:pt>
                <c:pt idx="2">
                  <c:v>2010-11</c:v>
                </c:pt>
                <c:pt idx="3">
                  <c:v>2011-12</c:v>
                </c:pt>
                <c:pt idx="4">
                  <c:v>2012-13</c:v>
                </c:pt>
                <c:pt idx="5">
                  <c:v>2013-14</c:v>
                </c:pt>
                <c:pt idx="6">
                  <c:v>2014-15</c:v>
                </c:pt>
                <c:pt idx="7">
                  <c:v>2015-16</c:v>
                </c:pt>
                <c:pt idx="8">
                  <c:v>2016-17</c:v>
                </c:pt>
                <c:pt idx="9">
                  <c:v>2017-18</c:v>
                </c:pt>
              </c:strCache>
            </c:strRef>
          </c:cat>
          <c:val>
            <c:numRef>
              <c:f>'Table A5'!$B$9:$M$9</c:f>
              <c:numCache>
                <c:formatCode>#,##0</c:formatCode>
                <c:ptCount val="10"/>
                <c:pt idx="0">
                  <c:v>20025</c:v>
                </c:pt>
                <c:pt idx="1">
                  <c:v>20730</c:v>
                </c:pt>
                <c:pt idx="2">
                  <c:v>21070</c:v>
                </c:pt>
                <c:pt idx="3">
                  <c:v>20800</c:v>
                </c:pt>
                <c:pt idx="4">
                  <c:v>19980</c:v>
                </c:pt>
                <c:pt idx="5">
                  <c:v>20350</c:v>
                </c:pt>
                <c:pt idx="6">
                  <c:v>20350</c:v>
                </c:pt>
                <c:pt idx="7">
                  <c:v>20955</c:v>
                </c:pt>
                <c:pt idx="8">
                  <c:v>21995</c:v>
                </c:pt>
                <c:pt idx="9">
                  <c:v>24340</c:v>
                </c:pt>
              </c:numCache>
            </c:numRef>
          </c:val>
          <c:smooth val="0"/>
          <c:extLst xmlns:c16r2="http://schemas.microsoft.com/office/drawing/2015/06/chart">
            <c:ext xmlns:c16="http://schemas.microsoft.com/office/drawing/2014/chart" uri="{C3380CC4-5D6E-409C-BE32-E72D297353CC}">
              <c16:uniqueId val="{00000006-2077-46FE-9F53-E8AC656252BB}"/>
            </c:ext>
          </c:extLst>
        </c:ser>
        <c:dLbls>
          <c:showLegendKey val="0"/>
          <c:showVal val="0"/>
          <c:showCatName val="0"/>
          <c:showSerName val="0"/>
          <c:showPercent val="0"/>
          <c:showBubbleSize val="0"/>
        </c:dLbls>
        <c:marker val="1"/>
        <c:smooth val="0"/>
        <c:axId val="187288576"/>
        <c:axId val="187290752"/>
      </c:lineChart>
      <c:catAx>
        <c:axId val="187288576"/>
        <c:scaling>
          <c:orientation val="minMax"/>
        </c:scaling>
        <c:delete val="0"/>
        <c:axPos val="b"/>
        <c:numFmt formatCode="General" sourceLinked="1"/>
        <c:majorTickMark val="out"/>
        <c:minorTickMark val="none"/>
        <c:tickLblPos val="nextTo"/>
        <c:txPr>
          <a:bodyPr/>
          <a:lstStyle/>
          <a:p>
            <a:pPr>
              <a:defRPr sz="1200"/>
            </a:pPr>
            <a:endParaRPr lang="en-US"/>
          </a:p>
        </c:txPr>
        <c:crossAx val="187290752"/>
        <c:crosses val="autoZero"/>
        <c:auto val="1"/>
        <c:lblAlgn val="ctr"/>
        <c:lblOffset val="100"/>
        <c:noMultiLvlLbl val="0"/>
      </c:catAx>
      <c:valAx>
        <c:axId val="187290752"/>
        <c:scaling>
          <c:orientation val="minMax"/>
        </c:scaling>
        <c:delete val="0"/>
        <c:axPos val="l"/>
        <c:majorGridlines>
          <c:spPr>
            <a:ln>
              <a:solidFill>
                <a:schemeClr val="bg1">
                  <a:lumMod val="85000"/>
                </a:schemeClr>
              </a:solidFill>
            </a:ln>
          </c:spPr>
        </c:majorGridlines>
        <c:title>
          <c:tx>
            <c:strRef>
              <c:f>'Table A5'!$A$4</c:f>
              <c:strCache>
                <c:ptCount val="1"/>
                <c:pt idx="0">
                  <c:v>Number of students</c:v>
                </c:pt>
              </c:strCache>
            </c:strRef>
          </c:tx>
          <c:overlay val="0"/>
          <c:txPr>
            <a:bodyPr rot="-5400000" vert="horz"/>
            <a:lstStyle/>
            <a:p>
              <a:pPr>
                <a:defRPr sz="1200"/>
              </a:pPr>
              <a:endParaRPr lang="en-US"/>
            </a:p>
          </c:txPr>
        </c:title>
        <c:numFmt formatCode="#,##0" sourceLinked="1"/>
        <c:majorTickMark val="out"/>
        <c:minorTickMark val="none"/>
        <c:tickLblPos val="nextTo"/>
        <c:txPr>
          <a:bodyPr/>
          <a:lstStyle/>
          <a:p>
            <a:pPr>
              <a:defRPr sz="1200"/>
            </a:pPr>
            <a:endParaRPr lang="en-US"/>
          </a:p>
        </c:txPr>
        <c:crossAx val="187288576"/>
        <c:crosses val="autoZero"/>
        <c:crossBetween val="between"/>
      </c:valAx>
    </c:plotArea>
    <c:legend>
      <c:legendPos val="b"/>
      <c:overlay val="0"/>
      <c:txPr>
        <a:bodyPr/>
        <a:lstStyle/>
        <a:p>
          <a:pPr>
            <a:defRPr sz="1200"/>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3"/>
          <c:order val="0"/>
          <c:tx>
            <c:strRef>
              <c:f>'Table A7'!$A$5</c:f>
              <c:strCache>
                <c:ptCount val="1"/>
                <c:pt idx="0">
                  <c:v>Total</c:v>
                </c:pt>
              </c:strCache>
            </c:strRef>
          </c:tx>
          <c:spPr>
            <a:ln>
              <a:solidFill>
                <a:srgbClr val="002060"/>
              </a:solidFill>
            </a:ln>
          </c:spPr>
          <c:marker>
            <c:symbol val="square"/>
            <c:size val="5"/>
            <c:spPr>
              <a:solidFill>
                <a:srgbClr val="002060"/>
              </a:solidFill>
              <a:ln>
                <a:solidFill>
                  <a:srgbClr val="002060"/>
                </a:solidFill>
              </a:ln>
            </c:spPr>
          </c:marker>
          <c:cat>
            <c:strRef>
              <c:f>'Table A1'!$B$4:$M$4</c:f>
              <c:strCache>
                <c:ptCount val="10"/>
                <c:pt idx="0">
                  <c:v>2008-09</c:v>
                </c:pt>
                <c:pt idx="1">
                  <c:v>2009-10</c:v>
                </c:pt>
                <c:pt idx="2">
                  <c:v>2010-11</c:v>
                </c:pt>
                <c:pt idx="3">
                  <c:v>2011-12</c:v>
                </c:pt>
                <c:pt idx="4">
                  <c:v>2012-13</c:v>
                </c:pt>
                <c:pt idx="5">
                  <c:v>2013-14</c:v>
                </c:pt>
                <c:pt idx="6">
                  <c:v>2014-15</c:v>
                </c:pt>
                <c:pt idx="7">
                  <c:v>2015-16</c:v>
                </c:pt>
                <c:pt idx="8">
                  <c:v>2016-17</c:v>
                </c:pt>
                <c:pt idx="9">
                  <c:v>2017-18</c:v>
                </c:pt>
              </c:strCache>
            </c:strRef>
          </c:cat>
          <c:val>
            <c:numRef>
              <c:f>'Table A7'!$B$5:$M$5</c:f>
              <c:numCache>
                <c:formatCode>#,##0</c:formatCode>
                <c:ptCount val="10"/>
                <c:pt idx="0">
                  <c:v>124845</c:v>
                </c:pt>
                <c:pt idx="1">
                  <c:v>130680</c:v>
                </c:pt>
                <c:pt idx="2">
                  <c:v>133175</c:v>
                </c:pt>
                <c:pt idx="3">
                  <c:v>133990</c:v>
                </c:pt>
                <c:pt idx="4">
                  <c:v>135375</c:v>
                </c:pt>
                <c:pt idx="5">
                  <c:v>137270</c:v>
                </c:pt>
                <c:pt idx="6">
                  <c:v>139370</c:v>
                </c:pt>
                <c:pt idx="7">
                  <c:v>141235</c:v>
                </c:pt>
                <c:pt idx="8">
                  <c:v>143500</c:v>
                </c:pt>
                <c:pt idx="9">
                  <c:v>147920</c:v>
                </c:pt>
              </c:numCache>
            </c:numRef>
          </c:val>
          <c:smooth val="0"/>
          <c:extLst xmlns:c16r2="http://schemas.microsoft.com/office/drawing/2015/06/chart">
            <c:ext xmlns:c16="http://schemas.microsoft.com/office/drawing/2014/chart" uri="{C3380CC4-5D6E-409C-BE32-E72D297353CC}">
              <c16:uniqueId val="{00000000-4C6E-440D-A567-4ED0F5F5AE9D}"/>
            </c:ext>
          </c:extLst>
        </c:ser>
        <c:ser>
          <c:idx val="0"/>
          <c:order val="1"/>
          <c:tx>
            <c:strRef>
              <c:f>'Table A7'!$A$6</c:f>
              <c:strCache>
                <c:ptCount val="1"/>
                <c:pt idx="0">
                  <c:v>Postgraduate</c:v>
                </c:pt>
              </c:strCache>
            </c:strRef>
          </c:tx>
          <c:marker>
            <c:symbol val="circle"/>
            <c:size val="5"/>
          </c:marker>
          <c:dPt>
            <c:idx val="6"/>
            <c:marker>
              <c:spPr>
                <a:solidFill>
                  <a:srgbClr val="4F81BD"/>
                </a:solidFill>
                <a:ln>
                  <a:solidFill>
                    <a:srgbClr val="4F81BD"/>
                  </a:solidFill>
                </a:ln>
              </c:spPr>
            </c:marker>
            <c:bubble3D val="0"/>
            <c:spPr>
              <a:ln>
                <a:solidFill>
                  <a:srgbClr val="4F81BD"/>
                </a:solidFill>
              </a:ln>
            </c:spPr>
            <c:extLst xmlns:c16r2="http://schemas.microsoft.com/office/drawing/2015/06/chart">
              <c:ext xmlns:c16="http://schemas.microsoft.com/office/drawing/2014/chart" uri="{C3380CC4-5D6E-409C-BE32-E72D297353CC}">
                <c16:uniqueId val="{00000002-4C6E-440D-A567-4ED0F5F5AE9D}"/>
              </c:ext>
            </c:extLst>
          </c:dPt>
          <c:cat>
            <c:strRef>
              <c:f>'Table A1'!$B$4:$M$4</c:f>
              <c:strCache>
                <c:ptCount val="10"/>
                <c:pt idx="0">
                  <c:v>2008-09</c:v>
                </c:pt>
                <c:pt idx="1">
                  <c:v>2009-10</c:v>
                </c:pt>
                <c:pt idx="2">
                  <c:v>2010-11</c:v>
                </c:pt>
                <c:pt idx="3">
                  <c:v>2011-12</c:v>
                </c:pt>
                <c:pt idx="4">
                  <c:v>2012-13</c:v>
                </c:pt>
                <c:pt idx="5">
                  <c:v>2013-14</c:v>
                </c:pt>
                <c:pt idx="6">
                  <c:v>2014-15</c:v>
                </c:pt>
                <c:pt idx="7">
                  <c:v>2015-16</c:v>
                </c:pt>
                <c:pt idx="8">
                  <c:v>2016-17</c:v>
                </c:pt>
                <c:pt idx="9">
                  <c:v>2017-18</c:v>
                </c:pt>
              </c:strCache>
            </c:strRef>
          </c:cat>
          <c:val>
            <c:numRef>
              <c:f>'Table A7'!$B$6:$M$6</c:f>
              <c:numCache>
                <c:formatCode>#,##0</c:formatCode>
                <c:ptCount val="10"/>
                <c:pt idx="0">
                  <c:v>4755</c:v>
                </c:pt>
                <c:pt idx="1">
                  <c:v>4290</c:v>
                </c:pt>
                <c:pt idx="2">
                  <c:v>3925</c:v>
                </c:pt>
                <c:pt idx="3">
                  <c:v>3775</c:v>
                </c:pt>
                <c:pt idx="4">
                  <c:v>3440</c:v>
                </c:pt>
                <c:pt idx="5">
                  <c:v>3640</c:v>
                </c:pt>
                <c:pt idx="6">
                  <c:v>3595</c:v>
                </c:pt>
                <c:pt idx="7">
                  <c:v>4155</c:v>
                </c:pt>
                <c:pt idx="8">
                  <c:v>5365</c:v>
                </c:pt>
                <c:pt idx="9">
                  <c:v>8285</c:v>
                </c:pt>
              </c:numCache>
            </c:numRef>
          </c:val>
          <c:smooth val="0"/>
          <c:extLst xmlns:c16r2="http://schemas.microsoft.com/office/drawing/2015/06/chart">
            <c:ext xmlns:c16="http://schemas.microsoft.com/office/drawing/2014/chart" uri="{C3380CC4-5D6E-409C-BE32-E72D297353CC}">
              <c16:uniqueId val="{00000003-4C6E-440D-A567-4ED0F5F5AE9D}"/>
            </c:ext>
          </c:extLst>
        </c:ser>
        <c:ser>
          <c:idx val="2"/>
          <c:order val="2"/>
          <c:tx>
            <c:strRef>
              <c:f>'Table A7'!$A$7</c:f>
              <c:strCache>
                <c:ptCount val="1"/>
                <c:pt idx="0">
                  <c:v>First Degree</c:v>
                </c:pt>
              </c:strCache>
            </c:strRef>
          </c:tx>
          <c:spPr>
            <a:ln>
              <a:solidFill>
                <a:srgbClr val="008080"/>
              </a:solidFill>
            </a:ln>
          </c:spPr>
          <c:marker>
            <c:symbol val="triangle"/>
            <c:size val="5"/>
            <c:spPr>
              <a:solidFill>
                <a:srgbClr val="008080"/>
              </a:solidFill>
              <a:ln>
                <a:solidFill>
                  <a:srgbClr val="008080"/>
                </a:solidFill>
              </a:ln>
            </c:spPr>
          </c:marker>
          <c:cat>
            <c:strRef>
              <c:f>'Table A1'!$B$4:$M$4</c:f>
              <c:strCache>
                <c:ptCount val="10"/>
                <c:pt idx="0">
                  <c:v>2008-09</c:v>
                </c:pt>
                <c:pt idx="1">
                  <c:v>2009-10</c:v>
                </c:pt>
                <c:pt idx="2">
                  <c:v>2010-11</c:v>
                </c:pt>
                <c:pt idx="3">
                  <c:v>2011-12</c:v>
                </c:pt>
                <c:pt idx="4">
                  <c:v>2012-13</c:v>
                </c:pt>
                <c:pt idx="5">
                  <c:v>2013-14</c:v>
                </c:pt>
                <c:pt idx="6">
                  <c:v>2014-15</c:v>
                </c:pt>
                <c:pt idx="7">
                  <c:v>2015-16</c:v>
                </c:pt>
                <c:pt idx="8">
                  <c:v>2016-17</c:v>
                </c:pt>
                <c:pt idx="9">
                  <c:v>2017-18</c:v>
                </c:pt>
              </c:strCache>
            </c:strRef>
          </c:cat>
          <c:val>
            <c:numRef>
              <c:f>'Table A7'!$B$7:$M$7</c:f>
              <c:numCache>
                <c:formatCode>#,##0</c:formatCode>
                <c:ptCount val="10"/>
                <c:pt idx="0">
                  <c:v>92090</c:v>
                </c:pt>
                <c:pt idx="1">
                  <c:v>95895</c:v>
                </c:pt>
                <c:pt idx="2">
                  <c:v>96930</c:v>
                </c:pt>
                <c:pt idx="3">
                  <c:v>97510</c:v>
                </c:pt>
                <c:pt idx="4">
                  <c:v>99300</c:v>
                </c:pt>
                <c:pt idx="5">
                  <c:v>100055</c:v>
                </c:pt>
                <c:pt idx="6">
                  <c:v>101675</c:v>
                </c:pt>
                <c:pt idx="7">
                  <c:v>102980</c:v>
                </c:pt>
                <c:pt idx="8">
                  <c:v>104035</c:v>
                </c:pt>
                <c:pt idx="9">
                  <c:v>105495</c:v>
                </c:pt>
              </c:numCache>
            </c:numRef>
          </c:val>
          <c:smooth val="0"/>
          <c:extLst xmlns:c16r2="http://schemas.microsoft.com/office/drawing/2015/06/chart">
            <c:ext xmlns:c16="http://schemas.microsoft.com/office/drawing/2014/chart" uri="{C3380CC4-5D6E-409C-BE32-E72D297353CC}">
              <c16:uniqueId val="{00000004-4C6E-440D-A567-4ED0F5F5AE9D}"/>
            </c:ext>
          </c:extLst>
        </c:ser>
        <c:ser>
          <c:idx val="1"/>
          <c:order val="3"/>
          <c:tx>
            <c:strRef>
              <c:f>'Table A7'!$A$8</c:f>
              <c:strCache>
                <c:ptCount val="1"/>
                <c:pt idx="0">
                  <c:v>Other undergraduate</c:v>
                </c:pt>
              </c:strCache>
            </c:strRef>
          </c:tx>
          <c:spPr>
            <a:ln>
              <a:solidFill>
                <a:srgbClr val="81C9BB"/>
              </a:solidFill>
            </a:ln>
          </c:spPr>
          <c:marker>
            <c:symbol val="diamond"/>
            <c:size val="5"/>
            <c:spPr>
              <a:solidFill>
                <a:srgbClr val="81C9BB"/>
              </a:solidFill>
              <a:ln>
                <a:solidFill>
                  <a:srgbClr val="81C9BB"/>
                </a:solidFill>
              </a:ln>
            </c:spPr>
          </c:marker>
          <c:cat>
            <c:strRef>
              <c:f>'Table A1'!$B$4:$M$4</c:f>
              <c:strCache>
                <c:ptCount val="10"/>
                <c:pt idx="0">
                  <c:v>2008-09</c:v>
                </c:pt>
                <c:pt idx="1">
                  <c:v>2009-10</c:v>
                </c:pt>
                <c:pt idx="2">
                  <c:v>2010-11</c:v>
                </c:pt>
                <c:pt idx="3">
                  <c:v>2011-12</c:v>
                </c:pt>
                <c:pt idx="4">
                  <c:v>2012-13</c:v>
                </c:pt>
                <c:pt idx="5">
                  <c:v>2013-14</c:v>
                </c:pt>
                <c:pt idx="6">
                  <c:v>2014-15</c:v>
                </c:pt>
                <c:pt idx="7">
                  <c:v>2015-16</c:v>
                </c:pt>
                <c:pt idx="8">
                  <c:v>2016-17</c:v>
                </c:pt>
                <c:pt idx="9">
                  <c:v>2017-18</c:v>
                </c:pt>
              </c:strCache>
            </c:strRef>
          </c:cat>
          <c:val>
            <c:numRef>
              <c:f>'Table A7'!$B$8:$M$8</c:f>
              <c:numCache>
                <c:formatCode>#,##0</c:formatCode>
                <c:ptCount val="10"/>
                <c:pt idx="0">
                  <c:v>27955</c:v>
                </c:pt>
                <c:pt idx="1">
                  <c:v>30460</c:v>
                </c:pt>
                <c:pt idx="2">
                  <c:v>32320</c:v>
                </c:pt>
                <c:pt idx="3">
                  <c:v>32705</c:v>
                </c:pt>
                <c:pt idx="4">
                  <c:v>32635</c:v>
                </c:pt>
                <c:pt idx="5">
                  <c:v>33575</c:v>
                </c:pt>
                <c:pt idx="6">
                  <c:v>34100</c:v>
                </c:pt>
                <c:pt idx="7">
                  <c:v>33865</c:v>
                </c:pt>
                <c:pt idx="8">
                  <c:v>34100</c:v>
                </c:pt>
                <c:pt idx="9">
                  <c:v>34140</c:v>
                </c:pt>
              </c:numCache>
            </c:numRef>
          </c:val>
          <c:smooth val="0"/>
          <c:extLst xmlns:c16r2="http://schemas.microsoft.com/office/drawing/2015/06/chart">
            <c:ext xmlns:c16="http://schemas.microsoft.com/office/drawing/2014/chart" uri="{C3380CC4-5D6E-409C-BE32-E72D297353CC}">
              <c16:uniqueId val="{00000005-4C6E-440D-A567-4ED0F5F5AE9D}"/>
            </c:ext>
          </c:extLst>
        </c:ser>
        <c:dLbls>
          <c:showLegendKey val="0"/>
          <c:showVal val="0"/>
          <c:showCatName val="0"/>
          <c:showSerName val="0"/>
          <c:showPercent val="0"/>
          <c:showBubbleSize val="0"/>
        </c:dLbls>
        <c:marker val="1"/>
        <c:smooth val="0"/>
        <c:axId val="186940800"/>
        <c:axId val="186951168"/>
      </c:lineChart>
      <c:catAx>
        <c:axId val="186940800"/>
        <c:scaling>
          <c:orientation val="minMax"/>
        </c:scaling>
        <c:delete val="0"/>
        <c:axPos val="b"/>
        <c:numFmt formatCode="General" sourceLinked="1"/>
        <c:majorTickMark val="out"/>
        <c:minorTickMark val="none"/>
        <c:tickLblPos val="nextTo"/>
        <c:txPr>
          <a:bodyPr/>
          <a:lstStyle/>
          <a:p>
            <a:pPr>
              <a:defRPr sz="1200"/>
            </a:pPr>
            <a:endParaRPr lang="en-US"/>
          </a:p>
        </c:txPr>
        <c:crossAx val="186951168"/>
        <c:crosses val="autoZero"/>
        <c:auto val="1"/>
        <c:lblAlgn val="ctr"/>
        <c:lblOffset val="100"/>
        <c:noMultiLvlLbl val="0"/>
      </c:catAx>
      <c:valAx>
        <c:axId val="186951168"/>
        <c:scaling>
          <c:orientation val="minMax"/>
        </c:scaling>
        <c:delete val="0"/>
        <c:axPos val="l"/>
        <c:majorGridlines>
          <c:spPr>
            <a:ln>
              <a:solidFill>
                <a:schemeClr val="bg1">
                  <a:lumMod val="85000"/>
                </a:schemeClr>
              </a:solidFill>
            </a:ln>
          </c:spPr>
        </c:majorGridlines>
        <c:title>
          <c:tx>
            <c:strRef>
              <c:f>'Table A7'!$A$4</c:f>
              <c:strCache>
                <c:ptCount val="1"/>
                <c:pt idx="0">
                  <c:v>Number of students</c:v>
                </c:pt>
              </c:strCache>
            </c:strRef>
          </c:tx>
          <c:overlay val="0"/>
          <c:txPr>
            <a:bodyPr rot="-5400000" vert="horz"/>
            <a:lstStyle/>
            <a:p>
              <a:pPr>
                <a:defRPr sz="1200"/>
              </a:pPr>
              <a:endParaRPr lang="en-US"/>
            </a:p>
          </c:txPr>
        </c:title>
        <c:numFmt formatCode="#,##0" sourceLinked="1"/>
        <c:majorTickMark val="out"/>
        <c:minorTickMark val="none"/>
        <c:tickLblPos val="nextTo"/>
        <c:txPr>
          <a:bodyPr/>
          <a:lstStyle/>
          <a:p>
            <a:pPr>
              <a:defRPr sz="1200"/>
            </a:pPr>
            <a:endParaRPr lang="en-US"/>
          </a:p>
        </c:txPr>
        <c:crossAx val="186940800"/>
        <c:crosses val="autoZero"/>
        <c:crossBetween val="between"/>
      </c:valAx>
    </c:plotArea>
    <c:legend>
      <c:legendPos val="b"/>
      <c:overlay val="0"/>
      <c:txPr>
        <a:bodyPr/>
        <a:lstStyle/>
        <a:p>
          <a:pPr>
            <a:defRPr sz="1200"/>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'Figure A1'!$A$31</c:f>
              <c:strCache>
                <c:ptCount val="1"/>
                <c:pt idx="0">
                  <c:v>Total</c:v>
                </c:pt>
              </c:strCache>
            </c:strRef>
          </c:tx>
          <c:spPr>
            <a:ln>
              <a:solidFill>
                <a:srgbClr val="002060"/>
              </a:solidFill>
            </a:ln>
          </c:spPr>
          <c:marker>
            <c:symbol val="square"/>
            <c:size val="5"/>
            <c:spPr>
              <a:solidFill>
                <a:srgbClr val="002060"/>
              </a:solidFill>
              <a:ln>
                <a:solidFill>
                  <a:srgbClr val="002060"/>
                </a:solidFill>
              </a:ln>
            </c:spPr>
          </c:marker>
          <c:dPt>
            <c:idx val="9"/>
            <c:bubble3D val="0"/>
            <c:spPr>
              <a:ln>
                <a:solidFill>
                  <a:srgbClr val="002060"/>
                </a:solidFill>
                <a:prstDash val="solid"/>
              </a:ln>
            </c:spPr>
            <c:extLst xmlns:c16r2="http://schemas.microsoft.com/office/drawing/2015/06/chart">
              <c:ext xmlns:c16="http://schemas.microsoft.com/office/drawing/2014/chart" uri="{C3380CC4-5D6E-409C-BE32-E72D297353CC}">
                <c16:uniqueId val="{00000001-ADCB-4073-89D3-A2BCE28CFD1E}"/>
              </c:ext>
            </c:extLst>
          </c:dPt>
          <c:dPt>
            <c:idx val="12"/>
            <c:bubble3D val="0"/>
            <c:spPr>
              <a:ln>
                <a:solidFill>
                  <a:srgbClr val="002060"/>
                </a:solidFill>
                <a:prstDash val="sysDot"/>
              </a:ln>
            </c:spPr>
            <c:extLst xmlns:c16r2="http://schemas.microsoft.com/office/drawing/2015/06/chart">
              <c:ext xmlns:c16="http://schemas.microsoft.com/office/drawing/2014/chart" uri="{C3380CC4-5D6E-409C-BE32-E72D297353CC}">
                <c16:uniqueId val="{00000007-AD2D-4036-B3F9-47FE7DDE275F}"/>
              </c:ext>
            </c:extLst>
          </c:dPt>
          <c:dLbls>
            <c:spPr>
              <a:solidFill>
                <a:schemeClr val="bg1"/>
              </a:solidFill>
            </c:spPr>
            <c:txPr>
              <a:bodyPr/>
              <a:lstStyle/>
              <a:p>
                <a:pPr>
                  <a:defRPr>
                    <a:solidFill>
                      <a:schemeClr val="bg1">
                        <a:lumMod val="65000"/>
                      </a:schemeClr>
                    </a:solidFill>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'Figure A1'!$B$29:$N$29</c:f>
              <c:strCache>
                <c:ptCount val="13"/>
                <c:pt idx="0">
                  <c:v>2005-06</c:v>
                </c:pt>
                <c:pt idx="1">
                  <c:v>2006-07</c:v>
                </c:pt>
                <c:pt idx="2">
                  <c:v>2008-09</c:v>
                </c:pt>
                <c:pt idx="3">
                  <c:v>2009-10</c:v>
                </c:pt>
                <c:pt idx="4">
                  <c:v>2010-11</c:v>
                </c:pt>
                <c:pt idx="5">
                  <c:v>2011-12</c:v>
                </c:pt>
                <c:pt idx="6">
                  <c:v>2012-13</c:v>
                </c:pt>
                <c:pt idx="7">
                  <c:v>2013-14</c:v>
                </c:pt>
                <c:pt idx="8">
                  <c:v>2014-15</c:v>
                </c:pt>
                <c:pt idx="9">
                  <c:v>2015-16</c:v>
                </c:pt>
                <c:pt idx="10">
                  <c:v>2016-17</c:v>
                </c:pt>
                <c:pt idx="11">
                  <c:v>2017-18</c:v>
                </c:pt>
                <c:pt idx="12">
                  <c:v>2018-19</c:v>
                </c:pt>
              </c:strCache>
            </c:strRef>
          </c:cat>
          <c:val>
            <c:numRef>
              <c:f>'Figure A1'!$B$31:$N$31</c:f>
              <c:numCache>
                <c:formatCode>#,##0</c:formatCode>
                <c:ptCount val="13"/>
                <c:pt idx="0">
                  <c:v>121235</c:v>
                </c:pt>
                <c:pt idx="1">
                  <c:v>121990</c:v>
                </c:pt>
                <c:pt idx="2">
                  <c:v>124845</c:v>
                </c:pt>
                <c:pt idx="3">
                  <c:v>130680</c:v>
                </c:pt>
                <c:pt idx="4">
                  <c:v>133175</c:v>
                </c:pt>
                <c:pt idx="5">
                  <c:v>133890</c:v>
                </c:pt>
                <c:pt idx="6">
                  <c:v>135375</c:v>
                </c:pt>
                <c:pt idx="7">
                  <c:v>140985</c:v>
                </c:pt>
                <c:pt idx="8">
                  <c:v>143925</c:v>
                </c:pt>
                <c:pt idx="9">
                  <c:v>145795</c:v>
                </c:pt>
                <c:pt idx="10">
                  <c:v>147060</c:v>
                </c:pt>
                <c:pt idx="11">
                  <c:v>151285</c:v>
                </c:pt>
                <c:pt idx="12">
                  <c:v>154175</c:v>
                </c:pt>
              </c:numCache>
            </c:numRef>
          </c:val>
          <c:smooth val="0"/>
          <c:extLst xmlns:c16r2="http://schemas.microsoft.com/office/drawing/2015/06/chart">
            <c:ext xmlns:c16="http://schemas.microsoft.com/office/drawing/2014/chart" uri="{C3380CC4-5D6E-409C-BE32-E72D297353CC}">
              <c16:uniqueId val="{00000002-ADCB-4073-89D3-A2BCE28CFD1E}"/>
            </c:ext>
          </c:extLst>
        </c:ser>
        <c:ser>
          <c:idx val="1"/>
          <c:order val="1"/>
          <c:tx>
            <c:strRef>
              <c:f>'Figure A1'!$A$34</c:f>
              <c:strCache>
                <c:ptCount val="1"/>
                <c:pt idx="0">
                  <c:v>Scottish domiciles</c:v>
                </c:pt>
              </c:strCache>
            </c:strRef>
          </c:tx>
          <c:spPr>
            <a:ln>
              <a:solidFill>
                <a:srgbClr val="4F81BD"/>
              </a:solidFill>
            </a:ln>
          </c:spPr>
          <c:marker>
            <c:symbol val="circle"/>
            <c:size val="5"/>
            <c:spPr>
              <a:solidFill>
                <a:srgbClr val="4F81BD"/>
              </a:solidFill>
              <a:ln>
                <a:solidFill>
                  <a:srgbClr val="4F81BD"/>
                </a:solidFill>
              </a:ln>
            </c:spPr>
          </c:marker>
          <c:dPt>
            <c:idx val="9"/>
            <c:bubble3D val="0"/>
            <c:spPr>
              <a:ln>
                <a:solidFill>
                  <a:srgbClr val="4F81BD"/>
                </a:solidFill>
                <a:prstDash val="solid"/>
              </a:ln>
            </c:spPr>
            <c:extLst xmlns:c16r2="http://schemas.microsoft.com/office/drawing/2015/06/chart">
              <c:ext xmlns:c16="http://schemas.microsoft.com/office/drawing/2014/chart" uri="{C3380CC4-5D6E-409C-BE32-E72D297353CC}">
                <c16:uniqueId val="{00000004-ADCB-4073-89D3-A2BCE28CFD1E}"/>
              </c:ext>
            </c:extLst>
          </c:dPt>
          <c:dPt>
            <c:idx val="12"/>
            <c:bubble3D val="0"/>
            <c:spPr>
              <a:ln>
                <a:solidFill>
                  <a:srgbClr val="4F81BD"/>
                </a:solidFill>
                <a:prstDash val="sysDot"/>
              </a:ln>
            </c:spPr>
            <c:extLst xmlns:c16r2="http://schemas.microsoft.com/office/drawing/2015/06/chart">
              <c:ext xmlns:c16="http://schemas.microsoft.com/office/drawing/2014/chart" uri="{C3380CC4-5D6E-409C-BE32-E72D297353CC}">
                <c16:uniqueId val="{00000008-AD2D-4036-B3F9-47FE7DDE275F}"/>
              </c:ext>
            </c:extLst>
          </c:dPt>
          <c:dLbls>
            <c:spPr>
              <a:solidFill>
                <a:schemeClr val="bg1"/>
              </a:solidFill>
            </c:spPr>
            <c:txPr>
              <a:bodyPr/>
              <a:lstStyle/>
              <a:p>
                <a:pPr>
                  <a:defRPr>
                    <a:solidFill>
                      <a:schemeClr val="bg1">
                        <a:lumMod val="65000"/>
                      </a:schemeClr>
                    </a:solidFill>
                  </a:defRPr>
                </a:pPr>
                <a:endParaRPr lang="en-U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'Figure A1'!$B$29:$N$29</c:f>
              <c:strCache>
                <c:ptCount val="13"/>
                <c:pt idx="0">
                  <c:v>2005-06</c:v>
                </c:pt>
                <c:pt idx="1">
                  <c:v>2006-07</c:v>
                </c:pt>
                <c:pt idx="2">
                  <c:v>2008-09</c:v>
                </c:pt>
                <c:pt idx="3">
                  <c:v>2009-10</c:v>
                </c:pt>
                <c:pt idx="4">
                  <c:v>2010-11</c:v>
                </c:pt>
                <c:pt idx="5">
                  <c:v>2011-12</c:v>
                </c:pt>
                <c:pt idx="6">
                  <c:v>2012-13</c:v>
                </c:pt>
                <c:pt idx="7">
                  <c:v>2013-14</c:v>
                </c:pt>
                <c:pt idx="8">
                  <c:v>2014-15</c:v>
                </c:pt>
                <c:pt idx="9">
                  <c:v>2015-16</c:v>
                </c:pt>
                <c:pt idx="10">
                  <c:v>2016-17</c:v>
                </c:pt>
                <c:pt idx="11">
                  <c:v>2017-18</c:v>
                </c:pt>
                <c:pt idx="12">
                  <c:v>2018-19</c:v>
                </c:pt>
              </c:strCache>
            </c:strRef>
          </c:cat>
          <c:val>
            <c:numRef>
              <c:f>'Figure A1'!$B$34:$N$34</c:f>
              <c:numCache>
                <c:formatCode>#,##0</c:formatCode>
                <c:ptCount val="13"/>
                <c:pt idx="0">
                  <c:v>114850</c:v>
                </c:pt>
                <c:pt idx="1">
                  <c:v>114610</c:v>
                </c:pt>
                <c:pt idx="2">
                  <c:v>113825</c:v>
                </c:pt>
                <c:pt idx="3">
                  <c:v>115300</c:v>
                </c:pt>
                <c:pt idx="4">
                  <c:v>119660</c:v>
                </c:pt>
                <c:pt idx="5">
                  <c:v>121855</c:v>
                </c:pt>
                <c:pt idx="6">
                  <c:v>122020</c:v>
                </c:pt>
                <c:pt idx="7">
                  <c:v>122365</c:v>
                </c:pt>
                <c:pt idx="8">
                  <c:v>126575</c:v>
                </c:pt>
                <c:pt idx="9">
                  <c:v>128675</c:v>
                </c:pt>
                <c:pt idx="10">
                  <c:v>130195</c:v>
                </c:pt>
                <c:pt idx="11">
                  <c:v>135070</c:v>
                </c:pt>
                <c:pt idx="12">
                  <c:v>137540</c:v>
                </c:pt>
              </c:numCache>
            </c:numRef>
          </c:val>
          <c:smooth val="0"/>
          <c:extLst xmlns:c16r2="http://schemas.microsoft.com/office/drawing/2015/06/chart">
            <c:ext xmlns:c16="http://schemas.microsoft.com/office/drawing/2014/chart" uri="{C3380CC4-5D6E-409C-BE32-E72D297353CC}">
              <c16:uniqueId val="{00000005-ADCB-4073-89D3-A2BCE28CFD1E}"/>
            </c:ext>
          </c:extLst>
        </c:ser>
        <c:ser>
          <c:idx val="2"/>
          <c:order val="2"/>
          <c:tx>
            <c:strRef>
              <c:f>'Figure A1'!$A$35</c:f>
              <c:strCache>
                <c:ptCount val="1"/>
                <c:pt idx="0">
                  <c:v>EU domiciles</c:v>
                </c:pt>
              </c:strCache>
            </c:strRef>
          </c:tx>
          <c:spPr>
            <a:ln>
              <a:solidFill>
                <a:srgbClr val="008080"/>
              </a:solidFill>
            </a:ln>
          </c:spPr>
          <c:marker>
            <c:symbol val="triangle"/>
            <c:size val="5"/>
            <c:spPr>
              <a:solidFill>
                <a:srgbClr val="008080"/>
              </a:solidFill>
              <a:ln>
                <a:solidFill>
                  <a:srgbClr val="008080"/>
                </a:solidFill>
              </a:ln>
            </c:spPr>
          </c:marker>
          <c:dPt>
            <c:idx val="9"/>
            <c:bubble3D val="0"/>
            <c:spPr>
              <a:ln>
                <a:solidFill>
                  <a:srgbClr val="008080"/>
                </a:solidFill>
                <a:prstDash val="solid"/>
              </a:ln>
            </c:spPr>
            <c:extLst xmlns:c16r2="http://schemas.microsoft.com/office/drawing/2015/06/chart">
              <c:ext xmlns:c16="http://schemas.microsoft.com/office/drawing/2014/chart" uri="{C3380CC4-5D6E-409C-BE32-E72D297353CC}">
                <c16:uniqueId val="{00000007-ADCB-4073-89D3-A2BCE28CFD1E}"/>
              </c:ext>
            </c:extLst>
          </c:dPt>
          <c:dPt>
            <c:idx val="12"/>
            <c:bubble3D val="0"/>
            <c:spPr>
              <a:ln>
                <a:solidFill>
                  <a:srgbClr val="008080"/>
                </a:solidFill>
                <a:prstDash val="sysDot"/>
              </a:ln>
            </c:spPr>
            <c:extLst xmlns:c16r2="http://schemas.microsoft.com/office/drawing/2015/06/chart">
              <c:ext xmlns:c16="http://schemas.microsoft.com/office/drawing/2014/chart" uri="{C3380CC4-5D6E-409C-BE32-E72D297353CC}">
                <c16:uniqueId val="{00000009-AD2D-4036-B3F9-47FE7DDE275F}"/>
              </c:ext>
            </c:extLst>
          </c:dPt>
          <c:dLbls>
            <c:spPr>
              <a:solidFill>
                <a:schemeClr val="bg1"/>
              </a:solidFill>
            </c:spPr>
            <c:txPr>
              <a:bodyPr/>
              <a:lstStyle/>
              <a:p>
                <a:pPr>
                  <a:defRPr>
                    <a:solidFill>
                      <a:schemeClr val="bg1">
                        <a:lumMod val="65000"/>
                      </a:schemeClr>
                    </a:solidFill>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'Figure A1'!$B$29:$N$29</c:f>
              <c:strCache>
                <c:ptCount val="13"/>
                <c:pt idx="0">
                  <c:v>2005-06</c:v>
                </c:pt>
                <c:pt idx="1">
                  <c:v>2006-07</c:v>
                </c:pt>
                <c:pt idx="2">
                  <c:v>2008-09</c:v>
                </c:pt>
                <c:pt idx="3">
                  <c:v>2009-10</c:v>
                </c:pt>
                <c:pt idx="4">
                  <c:v>2010-11</c:v>
                </c:pt>
                <c:pt idx="5">
                  <c:v>2011-12</c:v>
                </c:pt>
                <c:pt idx="6">
                  <c:v>2012-13</c:v>
                </c:pt>
                <c:pt idx="7">
                  <c:v>2013-14</c:v>
                </c:pt>
                <c:pt idx="8">
                  <c:v>2014-15</c:v>
                </c:pt>
                <c:pt idx="9">
                  <c:v>2015-16</c:v>
                </c:pt>
                <c:pt idx="10">
                  <c:v>2016-17</c:v>
                </c:pt>
                <c:pt idx="11">
                  <c:v>2017-18</c:v>
                </c:pt>
                <c:pt idx="12">
                  <c:v>2018-19</c:v>
                </c:pt>
              </c:strCache>
            </c:strRef>
          </c:cat>
          <c:val>
            <c:numRef>
              <c:f>'Figure A1'!$B$35:$N$35</c:f>
              <c:numCache>
                <c:formatCode>#,##0</c:formatCode>
                <c:ptCount val="13"/>
                <c:pt idx="0">
                  <c:v>6385</c:v>
                </c:pt>
                <c:pt idx="1">
                  <c:v>7385</c:v>
                </c:pt>
                <c:pt idx="2">
                  <c:v>8680</c:v>
                </c:pt>
                <c:pt idx="3">
                  <c:v>9545</c:v>
                </c:pt>
                <c:pt idx="4">
                  <c:v>11020</c:v>
                </c:pt>
                <c:pt idx="5">
                  <c:v>11320</c:v>
                </c:pt>
                <c:pt idx="6">
                  <c:v>11870</c:v>
                </c:pt>
                <c:pt idx="7">
                  <c:v>13010</c:v>
                </c:pt>
                <c:pt idx="8">
                  <c:v>14410</c:v>
                </c:pt>
                <c:pt idx="9">
                  <c:v>15250</c:v>
                </c:pt>
                <c:pt idx="10">
                  <c:v>15600</c:v>
                </c:pt>
                <c:pt idx="11">
                  <c:v>16215</c:v>
                </c:pt>
                <c:pt idx="12">
                  <c:v>16640</c:v>
                </c:pt>
              </c:numCache>
            </c:numRef>
          </c:val>
          <c:smooth val="0"/>
          <c:extLst xmlns:c16r2="http://schemas.microsoft.com/office/drawing/2015/06/chart">
            <c:ext xmlns:c16="http://schemas.microsoft.com/office/drawing/2014/chart" uri="{C3380CC4-5D6E-409C-BE32-E72D297353CC}">
              <c16:uniqueId val="{00000008-ADCB-4073-89D3-A2BCE28CFD1E}"/>
            </c:ext>
          </c:extLst>
        </c:ser>
        <c:dLbls>
          <c:showLegendKey val="0"/>
          <c:showVal val="0"/>
          <c:showCatName val="0"/>
          <c:showSerName val="0"/>
          <c:showPercent val="0"/>
          <c:showBubbleSize val="0"/>
        </c:dLbls>
        <c:marker val="1"/>
        <c:smooth val="0"/>
        <c:axId val="188077184"/>
        <c:axId val="188078720"/>
      </c:lineChart>
      <c:catAx>
        <c:axId val="188077184"/>
        <c:scaling>
          <c:orientation val="minMax"/>
        </c:scaling>
        <c:delete val="0"/>
        <c:axPos val="b"/>
        <c:numFmt formatCode="General" sourceLinked="1"/>
        <c:majorTickMark val="out"/>
        <c:minorTickMark val="none"/>
        <c:tickLblPos val="nextTo"/>
        <c:txPr>
          <a:bodyPr/>
          <a:lstStyle/>
          <a:p>
            <a:pPr>
              <a:defRPr sz="1200"/>
            </a:pPr>
            <a:endParaRPr lang="en-US"/>
          </a:p>
        </c:txPr>
        <c:crossAx val="188078720"/>
        <c:crosses val="autoZero"/>
        <c:auto val="1"/>
        <c:lblAlgn val="ctr"/>
        <c:lblOffset val="100"/>
        <c:noMultiLvlLbl val="0"/>
      </c:catAx>
      <c:valAx>
        <c:axId val="188078720"/>
        <c:scaling>
          <c:orientation val="minMax"/>
        </c:scaling>
        <c:delete val="0"/>
        <c:axPos val="l"/>
        <c:majorGridlines>
          <c:spPr>
            <a:ln>
              <a:solidFill>
                <a:schemeClr val="bg1">
                  <a:lumMod val="85000"/>
                </a:schemeClr>
              </a:solidFill>
            </a:ln>
          </c:spPr>
        </c:majorGridlines>
        <c:numFmt formatCode="#,##0" sourceLinked="1"/>
        <c:majorTickMark val="out"/>
        <c:minorTickMark val="none"/>
        <c:tickLblPos val="nextTo"/>
        <c:txPr>
          <a:bodyPr/>
          <a:lstStyle/>
          <a:p>
            <a:pPr>
              <a:defRPr sz="1200"/>
            </a:pPr>
            <a:endParaRPr lang="en-US"/>
          </a:p>
        </c:txPr>
        <c:crossAx val="188077184"/>
        <c:crosses val="autoZero"/>
        <c:crossBetween val="between"/>
      </c:valAx>
    </c:plotArea>
    <c:legend>
      <c:legendPos val="b"/>
      <c:overlay val="0"/>
      <c:txPr>
        <a:bodyPr/>
        <a:lstStyle/>
        <a:p>
          <a:pPr>
            <a:defRPr sz="1200"/>
          </a:pPr>
          <a:endParaRPr lang="en-US"/>
        </a:p>
      </c:txPr>
    </c:legend>
    <c:plotVisOnly val="0"/>
    <c:dispBlanksAs val="gap"/>
    <c:showDLblsOverMax val="0"/>
  </c:chart>
  <c:spPr>
    <a:ln>
      <a:noFill/>
    </a:ln>
  </c:sp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rgbClr val="002060"/>
              </a:solidFill>
            </c:spPr>
            <c:extLst xmlns:c16r2="http://schemas.microsoft.com/office/drawing/2015/06/chart">
              <c:ext xmlns:c16="http://schemas.microsoft.com/office/drawing/2014/chart" uri="{C3380CC4-5D6E-409C-BE32-E72D297353CC}">
                <c16:uniqueId val="{00000001-4535-46E1-998D-BDDA05A11191}"/>
              </c:ext>
            </c:extLst>
          </c:dPt>
          <c:dPt>
            <c:idx val="1"/>
            <c:bubble3D val="0"/>
            <c:spPr>
              <a:solidFill>
                <a:srgbClr val="4F81BD"/>
              </a:solidFill>
            </c:spPr>
            <c:extLst xmlns:c16r2="http://schemas.microsoft.com/office/drawing/2015/06/chart">
              <c:ext xmlns:c16="http://schemas.microsoft.com/office/drawing/2014/chart" uri="{C3380CC4-5D6E-409C-BE32-E72D297353CC}">
                <c16:uniqueId val="{00000003-4535-46E1-998D-BDDA05A11191}"/>
              </c:ext>
            </c:extLst>
          </c:dPt>
          <c:dPt>
            <c:idx val="2"/>
            <c:bubble3D val="0"/>
            <c:spPr>
              <a:solidFill>
                <a:srgbClr val="008080"/>
              </a:solidFill>
            </c:spPr>
            <c:extLst xmlns:c16r2="http://schemas.microsoft.com/office/drawing/2015/06/chart">
              <c:ext xmlns:c16="http://schemas.microsoft.com/office/drawing/2014/chart" uri="{C3380CC4-5D6E-409C-BE32-E72D297353CC}">
                <c16:uniqueId val="{00000005-4535-46E1-998D-BDDA05A11191}"/>
              </c:ext>
            </c:extLst>
          </c:dPt>
          <c:dPt>
            <c:idx val="3"/>
            <c:bubble3D val="0"/>
            <c:spPr>
              <a:solidFill>
                <a:srgbClr val="81C9BB"/>
              </a:solidFill>
            </c:spPr>
            <c:extLst xmlns:c16r2="http://schemas.microsoft.com/office/drawing/2015/06/chart">
              <c:ext xmlns:c16="http://schemas.microsoft.com/office/drawing/2014/chart" uri="{C3380CC4-5D6E-409C-BE32-E72D297353CC}">
                <c16:uniqueId val="{00000007-4535-46E1-998D-BDDA05A11191}"/>
              </c:ext>
            </c:extLst>
          </c:dPt>
          <c:dLbls>
            <c:dLbl>
              <c:idx val="0"/>
              <c:numFmt formatCode="0.0%" sourceLinked="0"/>
              <c:spPr/>
              <c:txPr>
                <a:bodyPr/>
                <a:lstStyle/>
                <a:p>
                  <a:pPr>
                    <a:defRPr sz="1100">
                      <a:solidFill>
                        <a:schemeClr val="bg1">
                          <a:lumMod val="85000"/>
                        </a:schemeClr>
                      </a:solidFill>
                    </a:defRPr>
                  </a:pPr>
                  <a:endParaRPr lang="en-US"/>
                </a:p>
              </c:txPr>
              <c:dLblPos val="inEnd"/>
              <c:showLegendKey val="0"/>
              <c:showVal val="0"/>
              <c:showCatName val="0"/>
              <c:showSerName val="0"/>
              <c:showPercent val="1"/>
              <c:showBubbleSize val="0"/>
            </c:dLbl>
            <c:numFmt formatCode="0.0%" sourceLinked="0"/>
            <c:spPr>
              <a:noFill/>
              <a:ln>
                <a:noFill/>
              </a:ln>
              <a:effectLst/>
            </c:spPr>
            <c:txPr>
              <a:bodyPr/>
              <a:lstStyle/>
              <a:p>
                <a:pPr>
                  <a:defRPr sz="1100">
                    <a:solidFill>
                      <a:sysClr val="windowText" lastClr="000000"/>
                    </a:solidFill>
                  </a:defRPr>
                </a:pPr>
                <a:endParaRPr lang="en-US"/>
              </a:p>
            </c:txPr>
            <c:dLblPos val="inEnd"/>
            <c:showLegendKey val="0"/>
            <c:showVal val="0"/>
            <c:showCatName val="0"/>
            <c:showSerName val="0"/>
            <c:showPercent val="1"/>
            <c:showBubbleSize val="0"/>
            <c:showLeaderLines val="0"/>
            <c:extLst xmlns:c16r2="http://schemas.microsoft.com/office/drawing/2015/06/chart">
              <c:ext xmlns:c15="http://schemas.microsoft.com/office/drawing/2012/chart" uri="{CE6537A1-D6FC-4f65-9D91-7224C49458BB}"/>
            </c:extLst>
          </c:dLbls>
          <c:cat>
            <c:strRef>
              <c:f>'Table A5'!$A$12:$A$15</c:f>
              <c:strCache>
                <c:ptCount val="4"/>
                <c:pt idx="0">
                  <c:v>17 and under</c:v>
                </c:pt>
                <c:pt idx="1">
                  <c:v>18 to 20</c:v>
                </c:pt>
                <c:pt idx="2">
                  <c:v>21 to 24</c:v>
                </c:pt>
                <c:pt idx="3">
                  <c:v>25 and over</c:v>
                </c:pt>
              </c:strCache>
            </c:strRef>
          </c:cat>
          <c:val>
            <c:numRef>
              <c:f>'Table A5'!$N$12:$N$15</c:f>
              <c:numCache>
                <c:formatCode>General</c:formatCode>
                <c:ptCount val="4"/>
              </c:numCache>
            </c:numRef>
          </c:val>
          <c:extLst xmlns:c16r2="http://schemas.microsoft.com/office/drawing/2015/06/chart">
            <c:ext xmlns:c16="http://schemas.microsoft.com/office/drawing/2014/chart" uri="{C3380CC4-5D6E-409C-BE32-E72D297353CC}">
              <c16:uniqueId val="{00000008-4535-46E1-998D-BDDA05A11191}"/>
            </c:ext>
          </c:extLst>
        </c:ser>
        <c:dLbls>
          <c:showLegendKey val="0"/>
          <c:showVal val="0"/>
          <c:showCatName val="0"/>
          <c:showSerName val="0"/>
          <c:showPercent val="0"/>
          <c:showBubbleSize val="0"/>
          <c:showLeaderLines val="0"/>
        </c:dLbls>
        <c:firstSliceAng val="0"/>
      </c:pieChart>
      <c:spPr>
        <a:noFill/>
        <a:ln w="25400">
          <a:noFill/>
        </a:ln>
      </c:spPr>
    </c:plotArea>
    <c:plotVisOnly val="1"/>
    <c:dispBlanksAs val="gap"/>
    <c:showDLblsOverMax val="0"/>
  </c:chart>
  <c:spPr>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rgbClr val="002060"/>
              </a:solidFill>
            </c:spPr>
            <c:extLst xmlns:c16r2="http://schemas.microsoft.com/office/drawing/2015/06/chart">
              <c:ext xmlns:c16="http://schemas.microsoft.com/office/drawing/2014/chart" uri="{C3380CC4-5D6E-409C-BE32-E72D297353CC}">
                <c16:uniqueId val="{00000001-E732-4CF0-9B70-52CC3D3EBFEF}"/>
              </c:ext>
            </c:extLst>
          </c:dPt>
          <c:dPt>
            <c:idx val="1"/>
            <c:bubble3D val="0"/>
            <c:spPr>
              <a:solidFill>
                <a:srgbClr val="4F81BD"/>
              </a:solidFill>
            </c:spPr>
            <c:extLst xmlns:c16r2="http://schemas.microsoft.com/office/drawing/2015/06/chart">
              <c:ext xmlns:c16="http://schemas.microsoft.com/office/drawing/2014/chart" uri="{C3380CC4-5D6E-409C-BE32-E72D297353CC}">
                <c16:uniqueId val="{00000003-E732-4CF0-9B70-52CC3D3EBFEF}"/>
              </c:ext>
            </c:extLst>
          </c:dPt>
          <c:dPt>
            <c:idx val="2"/>
            <c:bubble3D val="0"/>
            <c:spPr>
              <a:solidFill>
                <a:srgbClr val="008080"/>
              </a:solidFill>
            </c:spPr>
            <c:extLst xmlns:c16r2="http://schemas.microsoft.com/office/drawing/2015/06/chart">
              <c:ext xmlns:c16="http://schemas.microsoft.com/office/drawing/2014/chart" uri="{C3380CC4-5D6E-409C-BE32-E72D297353CC}">
                <c16:uniqueId val="{00000005-E732-4CF0-9B70-52CC3D3EBFEF}"/>
              </c:ext>
            </c:extLst>
          </c:dPt>
          <c:dPt>
            <c:idx val="3"/>
            <c:bubble3D val="0"/>
            <c:spPr>
              <a:solidFill>
                <a:srgbClr val="81C9BB"/>
              </a:solidFill>
            </c:spPr>
            <c:extLst xmlns:c16r2="http://schemas.microsoft.com/office/drawing/2015/06/chart">
              <c:ext xmlns:c16="http://schemas.microsoft.com/office/drawing/2014/chart" uri="{C3380CC4-5D6E-409C-BE32-E72D297353CC}">
                <c16:uniqueId val="{00000007-E732-4CF0-9B70-52CC3D3EBFEF}"/>
              </c:ext>
            </c:extLst>
          </c:dPt>
          <c:dLbls>
            <c:dLbl>
              <c:idx val="0"/>
              <c:numFmt formatCode="0.0%" sourceLinked="0"/>
              <c:spPr/>
              <c:txPr>
                <a:bodyPr/>
                <a:lstStyle/>
                <a:p>
                  <a:pPr>
                    <a:defRPr sz="1100">
                      <a:solidFill>
                        <a:schemeClr val="bg1">
                          <a:lumMod val="95000"/>
                        </a:schemeClr>
                      </a:solidFill>
                    </a:defRPr>
                  </a:pPr>
                  <a:endParaRPr lang="en-US"/>
                </a:p>
              </c:txPr>
              <c:dLblPos val="inEnd"/>
              <c:showLegendKey val="0"/>
              <c:showVal val="0"/>
              <c:showCatName val="0"/>
              <c:showSerName val="0"/>
              <c:showPercent val="1"/>
              <c:showBubbleSize val="0"/>
            </c:dLbl>
            <c:numFmt formatCode="0.0%" sourceLinked="0"/>
            <c:spPr>
              <a:noFill/>
              <a:ln>
                <a:noFill/>
              </a:ln>
              <a:effectLst/>
            </c:spPr>
            <c:txPr>
              <a:bodyPr/>
              <a:lstStyle/>
              <a:p>
                <a:pPr>
                  <a:defRPr sz="1100">
                    <a:solidFill>
                      <a:sysClr val="windowText" lastClr="000000"/>
                    </a:solidFill>
                  </a:defRPr>
                </a:pPr>
                <a:endParaRPr lang="en-US"/>
              </a:p>
            </c:txPr>
            <c:dLblPos val="inEnd"/>
            <c:showLegendKey val="0"/>
            <c:showVal val="0"/>
            <c:showCatName val="0"/>
            <c:showSerName val="0"/>
            <c:showPercent val="1"/>
            <c:showBubbleSize val="0"/>
            <c:showLeaderLines val="0"/>
            <c:extLst xmlns:c16r2="http://schemas.microsoft.com/office/drawing/2015/06/chart">
              <c:ext xmlns:c15="http://schemas.microsoft.com/office/drawing/2012/chart" uri="{CE6537A1-D6FC-4f65-9D91-7224C49458BB}"/>
            </c:extLst>
          </c:dLbls>
          <c:cat>
            <c:strRef>
              <c:f>'Table A5'!$A$18:$A$21</c:f>
              <c:strCache>
                <c:ptCount val="4"/>
                <c:pt idx="0">
                  <c:v>17 and under</c:v>
                </c:pt>
                <c:pt idx="1">
                  <c:v>18 to 20</c:v>
                </c:pt>
                <c:pt idx="2">
                  <c:v>21 to 24</c:v>
                </c:pt>
                <c:pt idx="3">
                  <c:v>25 and over</c:v>
                </c:pt>
              </c:strCache>
            </c:strRef>
          </c:cat>
          <c:val>
            <c:numRef>
              <c:f>'Table A5'!$N$18:$N$21</c:f>
              <c:numCache>
                <c:formatCode>General</c:formatCode>
                <c:ptCount val="4"/>
              </c:numCache>
            </c:numRef>
          </c:val>
          <c:extLst xmlns:c16r2="http://schemas.microsoft.com/office/drawing/2015/06/chart">
            <c:ext xmlns:c16="http://schemas.microsoft.com/office/drawing/2014/chart" uri="{C3380CC4-5D6E-409C-BE32-E72D297353CC}">
              <c16:uniqueId val="{00000008-E732-4CF0-9B70-52CC3D3EBFEF}"/>
            </c:ext>
          </c:extLst>
        </c:ser>
        <c:dLbls>
          <c:showLegendKey val="0"/>
          <c:showVal val="0"/>
          <c:showCatName val="0"/>
          <c:showSerName val="0"/>
          <c:showPercent val="0"/>
          <c:showBubbleSize val="0"/>
          <c:showLeaderLines val="0"/>
        </c:dLbls>
        <c:firstSliceAng val="0"/>
      </c:pieChart>
      <c:spPr>
        <a:noFill/>
        <a:ln w="25400">
          <a:noFill/>
        </a:ln>
      </c:spPr>
    </c:plotArea>
    <c:plotVisOnly val="1"/>
    <c:dispBlanksAs val="gap"/>
    <c:showDLblsOverMax val="0"/>
  </c:chart>
  <c:spPr>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4F81BD"/>
            </a:solidFill>
          </c:spPr>
          <c:dPt>
            <c:idx val="0"/>
            <c:bubble3D val="0"/>
            <c:spPr>
              <a:solidFill>
                <a:srgbClr val="002060"/>
              </a:solidFill>
            </c:spPr>
            <c:extLst xmlns:c16r2="http://schemas.microsoft.com/office/drawing/2015/06/chart">
              <c:ext xmlns:c16="http://schemas.microsoft.com/office/drawing/2014/chart" uri="{C3380CC4-5D6E-409C-BE32-E72D297353CC}">
                <c16:uniqueId val="{00000001-5029-4CFC-9E25-6EC247CE2CB5}"/>
              </c:ext>
            </c:extLst>
          </c:dPt>
          <c:dPt>
            <c:idx val="1"/>
            <c:bubble3D val="0"/>
            <c:extLst xmlns:c16r2="http://schemas.microsoft.com/office/drawing/2015/06/chart">
              <c:ext xmlns:c16="http://schemas.microsoft.com/office/drawing/2014/chart" uri="{C3380CC4-5D6E-409C-BE32-E72D297353CC}">
                <c16:uniqueId val="{00000002-5029-4CFC-9E25-6EC247CE2CB5}"/>
              </c:ext>
            </c:extLst>
          </c:dPt>
          <c:dPt>
            <c:idx val="2"/>
            <c:bubble3D val="0"/>
            <c:spPr>
              <a:solidFill>
                <a:srgbClr val="008080"/>
              </a:solidFill>
              <a:ln>
                <a:solidFill>
                  <a:schemeClr val="accent1"/>
                </a:solidFill>
              </a:ln>
            </c:spPr>
            <c:extLst xmlns:c16r2="http://schemas.microsoft.com/office/drawing/2015/06/chart">
              <c:ext xmlns:c16="http://schemas.microsoft.com/office/drawing/2014/chart" uri="{C3380CC4-5D6E-409C-BE32-E72D297353CC}">
                <c16:uniqueId val="{00000004-5029-4CFC-9E25-6EC247CE2CB5}"/>
              </c:ext>
            </c:extLst>
          </c:dPt>
          <c:dPt>
            <c:idx val="3"/>
            <c:bubble3D val="0"/>
            <c:spPr>
              <a:solidFill>
                <a:srgbClr val="81C9BB"/>
              </a:solidFill>
            </c:spPr>
            <c:extLst xmlns:c16r2="http://schemas.microsoft.com/office/drawing/2015/06/chart">
              <c:ext xmlns:c16="http://schemas.microsoft.com/office/drawing/2014/chart" uri="{C3380CC4-5D6E-409C-BE32-E72D297353CC}">
                <c16:uniqueId val="{00000006-5029-4CFC-9E25-6EC247CE2CB5}"/>
              </c:ext>
            </c:extLst>
          </c:dPt>
          <c:cat>
            <c:strRef>
              <c:f>'Table A5'!$A$12:$A$15</c:f>
              <c:strCache>
                <c:ptCount val="4"/>
                <c:pt idx="0">
                  <c:v>17 and under</c:v>
                </c:pt>
                <c:pt idx="1">
                  <c:v>18 to 20</c:v>
                </c:pt>
                <c:pt idx="2">
                  <c:v>21 to 24</c:v>
                </c:pt>
                <c:pt idx="3">
                  <c:v>25 and over</c:v>
                </c:pt>
              </c:strCache>
            </c:strRef>
          </c:cat>
          <c:val>
            <c:numRef>
              <c:f>'Table A5'!$N$12:$N$15</c:f>
              <c:numCache>
                <c:formatCode>General</c:formatCode>
                <c:ptCount val="4"/>
              </c:numCache>
            </c:numRef>
          </c:val>
          <c:extLst xmlns:c16r2="http://schemas.microsoft.com/office/drawing/2015/06/chart">
            <c:ext xmlns:c16="http://schemas.microsoft.com/office/drawing/2014/chart" uri="{C3380CC4-5D6E-409C-BE32-E72D297353CC}">
              <c16:uniqueId val="{00000007-5029-4CFC-9E25-6EC247CE2CB5}"/>
            </c:ext>
          </c:extLst>
        </c:ser>
        <c:dLbls>
          <c:showLegendKey val="0"/>
          <c:showVal val="0"/>
          <c:showCatName val="0"/>
          <c:showSerName val="0"/>
          <c:showPercent val="0"/>
          <c:showBubbleSize val="0"/>
          <c:showLeaderLines val="1"/>
        </c:dLbls>
        <c:firstSliceAng val="0"/>
      </c:pieChart>
      <c:spPr>
        <a:noFill/>
        <a:ln w="25400">
          <a:noFill/>
        </a:ln>
      </c:spPr>
    </c:plotArea>
    <c:legend>
      <c:legendPos val="b"/>
      <c:overlay val="0"/>
      <c:txPr>
        <a:bodyPr/>
        <a:lstStyle/>
        <a:p>
          <a:pPr>
            <a:defRPr sz="1200"/>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'Table A5'!$A$4</c:f>
              <c:strCache>
                <c:ptCount val="1"/>
                <c:pt idx="0">
                  <c:v>Number of students</c:v>
                </c:pt>
              </c:strCache>
            </c:strRef>
          </c:tx>
          <c:invertIfNegative val="0"/>
          <c:dPt>
            <c:idx val="0"/>
            <c:invertIfNegative val="0"/>
            <c:bubble3D val="0"/>
            <c:spPr>
              <a:solidFill>
                <a:schemeClr val="bg1">
                  <a:lumMod val="85000"/>
                </a:schemeClr>
              </a:solidFill>
            </c:spPr>
            <c:extLst xmlns:c16r2="http://schemas.microsoft.com/office/drawing/2015/06/chart">
              <c:ext xmlns:c16="http://schemas.microsoft.com/office/drawing/2014/chart" uri="{C3380CC4-5D6E-409C-BE32-E72D297353CC}">
                <c16:uniqueId val="{00000001-103B-4652-9223-EB4AAF16CA1E}"/>
              </c:ext>
            </c:extLst>
          </c:dPt>
          <c:dPt>
            <c:idx val="1"/>
            <c:invertIfNegative val="0"/>
            <c:bubble3D val="0"/>
            <c:spPr>
              <a:solidFill>
                <a:schemeClr val="bg1">
                  <a:lumMod val="65000"/>
                </a:schemeClr>
              </a:solidFill>
            </c:spPr>
            <c:extLst xmlns:c16r2="http://schemas.microsoft.com/office/drawing/2015/06/chart">
              <c:ext xmlns:c16="http://schemas.microsoft.com/office/drawing/2014/chart" uri="{C3380CC4-5D6E-409C-BE32-E72D297353CC}">
                <c16:uniqueId val="{00000003-103B-4652-9223-EB4AAF16CA1E}"/>
              </c:ext>
            </c:extLst>
          </c:dPt>
          <c:dLbls>
            <c:spPr>
              <a:noFill/>
              <a:ln>
                <a:noFill/>
              </a:ln>
              <a:effectLst/>
            </c:spPr>
            <c:txPr>
              <a:bodyPr/>
              <a:lstStyle/>
              <a:p>
                <a:pPr>
                  <a:defRPr sz="1200"/>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('Table A5'!$A$11,'Table A5'!$A$17)</c:f>
              <c:strCache>
                <c:ptCount val="2"/>
                <c:pt idx="0">
                  <c:v>Female</c:v>
                </c:pt>
                <c:pt idx="1">
                  <c:v>Male</c:v>
                </c:pt>
              </c:strCache>
            </c:strRef>
          </c:cat>
          <c:val>
            <c:numRef>
              <c:f>('Table A5'!$M$11,'Table A5'!$M$17)</c:f>
              <c:numCache>
                <c:formatCode>#,##0</c:formatCode>
                <c:ptCount val="2"/>
                <c:pt idx="0">
                  <c:v>83740</c:v>
                </c:pt>
                <c:pt idx="1">
                  <c:v>64180</c:v>
                </c:pt>
              </c:numCache>
            </c:numRef>
          </c:val>
          <c:extLst xmlns:c16r2="http://schemas.microsoft.com/office/drawing/2015/06/chart">
            <c:ext xmlns:c16="http://schemas.microsoft.com/office/drawing/2014/chart" uri="{C3380CC4-5D6E-409C-BE32-E72D297353CC}">
              <c16:uniqueId val="{00000004-103B-4652-9223-EB4AAF16CA1E}"/>
            </c:ext>
          </c:extLst>
        </c:ser>
        <c:dLbls>
          <c:showLegendKey val="0"/>
          <c:showVal val="0"/>
          <c:showCatName val="0"/>
          <c:showSerName val="0"/>
          <c:showPercent val="0"/>
          <c:showBubbleSize val="0"/>
        </c:dLbls>
        <c:gapWidth val="50"/>
        <c:axId val="176194304"/>
        <c:axId val="176195840"/>
      </c:barChart>
      <c:catAx>
        <c:axId val="176194304"/>
        <c:scaling>
          <c:orientation val="minMax"/>
        </c:scaling>
        <c:delete val="0"/>
        <c:axPos val="b"/>
        <c:numFmt formatCode="General" sourceLinked="1"/>
        <c:majorTickMark val="out"/>
        <c:minorTickMark val="none"/>
        <c:tickLblPos val="nextTo"/>
        <c:txPr>
          <a:bodyPr/>
          <a:lstStyle/>
          <a:p>
            <a:pPr>
              <a:defRPr sz="1200"/>
            </a:pPr>
            <a:endParaRPr lang="en-US"/>
          </a:p>
        </c:txPr>
        <c:crossAx val="176195840"/>
        <c:crosses val="autoZero"/>
        <c:auto val="1"/>
        <c:lblAlgn val="ctr"/>
        <c:lblOffset val="100"/>
        <c:noMultiLvlLbl val="0"/>
      </c:catAx>
      <c:valAx>
        <c:axId val="176195840"/>
        <c:scaling>
          <c:orientation val="minMax"/>
          <c:min val="0"/>
        </c:scaling>
        <c:delete val="1"/>
        <c:axPos val="l"/>
        <c:numFmt formatCode="#,##0" sourceLinked="1"/>
        <c:majorTickMark val="out"/>
        <c:minorTickMark val="none"/>
        <c:tickLblPos val="nextTo"/>
        <c:crossAx val="17619430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'Table A6'!$B$4:$D$4</c:f>
              <c:strCache>
                <c:ptCount val="1"/>
                <c:pt idx="0">
                  <c:v>Any Support</c:v>
                </c:pt>
              </c:strCache>
            </c:strRef>
          </c:tx>
          <c:spPr>
            <a:solidFill>
              <a:srgbClr val="002060"/>
            </a:solidFill>
            <a:ln>
              <a:noFill/>
            </a:ln>
          </c:spPr>
          <c:invertIfNegative val="0"/>
          <c:dPt>
            <c:idx val="0"/>
            <c:invertIfNegative val="0"/>
            <c:bubble3D val="0"/>
            <c:spPr>
              <a:solidFill>
                <a:srgbClr val="4881BD"/>
              </a:solidFill>
              <a:ln>
                <a:noFill/>
              </a:ln>
            </c:spPr>
            <c:extLst xmlns:c16r2="http://schemas.microsoft.com/office/drawing/2015/06/chart">
              <c:ext xmlns:c16="http://schemas.microsoft.com/office/drawing/2014/chart" uri="{C3380CC4-5D6E-409C-BE32-E72D297353CC}">
                <c16:uniqueId val="{00000001-F610-45A0-872A-C60818326157}"/>
              </c:ext>
            </c:extLst>
          </c:dPt>
          <c:dPt>
            <c:idx val="10"/>
            <c:invertIfNegative val="0"/>
            <c:bubble3D val="0"/>
            <c:spPr>
              <a:solidFill>
                <a:srgbClr val="4F81BD"/>
              </a:solidFill>
              <a:ln>
                <a:noFill/>
              </a:ln>
            </c:spPr>
            <c:extLst xmlns:c16r2="http://schemas.microsoft.com/office/drawing/2015/06/chart">
              <c:ext xmlns:c16="http://schemas.microsoft.com/office/drawing/2014/chart" uri="{C3380CC4-5D6E-409C-BE32-E72D297353CC}">
                <c16:uniqueId val="{00000003-F610-45A0-872A-C60818326157}"/>
              </c:ext>
            </c:extLst>
          </c:dPt>
          <c:dPt>
            <c:idx val="11"/>
            <c:invertIfNegative val="0"/>
            <c:bubble3D val="0"/>
            <c:spPr>
              <a:solidFill>
                <a:srgbClr val="008080"/>
              </a:solidFill>
              <a:ln>
                <a:noFill/>
              </a:ln>
            </c:spPr>
            <c:extLst xmlns:c16r2="http://schemas.microsoft.com/office/drawing/2015/06/chart">
              <c:ext xmlns:c16="http://schemas.microsoft.com/office/drawing/2014/chart" uri="{C3380CC4-5D6E-409C-BE32-E72D297353CC}">
                <c16:uniqueId val="{00000005-F610-45A0-872A-C60818326157}"/>
              </c:ext>
            </c:extLst>
          </c:dPt>
          <c:dPt>
            <c:idx val="12"/>
            <c:invertIfNegative val="0"/>
            <c:bubble3D val="0"/>
            <c:spPr>
              <a:solidFill>
                <a:srgbClr val="81C9BB"/>
              </a:solidFill>
              <a:ln>
                <a:noFill/>
              </a:ln>
            </c:spPr>
            <c:extLst xmlns:c16r2="http://schemas.microsoft.com/office/drawing/2015/06/chart">
              <c:ext xmlns:c16="http://schemas.microsoft.com/office/drawing/2014/chart" uri="{C3380CC4-5D6E-409C-BE32-E72D297353CC}">
                <c16:uniqueId val="{00000007-F610-45A0-872A-C60818326157}"/>
              </c:ext>
            </c:extLst>
          </c:dPt>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('Table A6'!$A$7,'Table A6'!$A$12:$A$15)</c:f>
              <c:strCache>
                <c:ptCount val="5"/>
                <c:pt idx="0">
                  <c:v>Income not declared/required</c:v>
                </c:pt>
                <c:pt idx="1">
                  <c:v>Up to £18,999</c:v>
                </c:pt>
                <c:pt idx="2">
                  <c:v>£19,000 to £23,999</c:v>
                </c:pt>
                <c:pt idx="3">
                  <c:v>£24,000 to £33,999</c:v>
                </c:pt>
                <c:pt idx="4">
                  <c:v>£34,000 and above</c:v>
                </c:pt>
              </c:strCache>
            </c:strRef>
          </c:cat>
          <c:val>
            <c:numRef>
              <c:f>('Table A6'!$B$7,'Table A6'!$B$12:$B$15)</c:f>
              <c:numCache>
                <c:formatCode>#,##0</c:formatCode>
                <c:ptCount val="5"/>
                <c:pt idx="0">
                  <c:v>104510</c:v>
                </c:pt>
                <c:pt idx="1">
                  <c:v>26465</c:v>
                </c:pt>
                <c:pt idx="2">
                  <c:v>5840</c:v>
                </c:pt>
                <c:pt idx="3">
                  <c:v>8150</c:v>
                </c:pt>
                <c:pt idx="4">
                  <c:v>2955</c:v>
                </c:pt>
              </c:numCache>
            </c:numRef>
          </c:val>
          <c:extLst xmlns:c16r2="http://schemas.microsoft.com/office/drawing/2015/06/chart">
            <c:ext xmlns:c16="http://schemas.microsoft.com/office/drawing/2014/chart" uri="{C3380CC4-5D6E-409C-BE32-E72D297353CC}">
              <c16:uniqueId val="{00000008-F610-45A0-872A-C60818326157}"/>
            </c:ext>
          </c:extLst>
        </c:ser>
        <c:dLbls>
          <c:showLegendKey val="0"/>
          <c:showVal val="0"/>
          <c:showCatName val="0"/>
          <c:showSerName val="0"/>
          <c:showPercent val="0"/>
          <c:showBubbleSize val="0"/>
        </c:dLbls>
        <c:gapWidth val="20"/>
        <c:axId val="185312768"/>
        <c:axId val="185314304"/>
      </c:barChart>
      <c:catAx>
        <c:axId val="185312768"/>
        <c:scaling>
          <c:orientation val="minMax"/>
        </c:scaling>
        <c:delete val="0"/>
        <c:axPos val="b"/>
        <c:numFmt formatCode="General" sourceLinked="1"/>
        <c:majorTickMark val="out"/>
        <c:minorTickMark val="none"/>
        <c:tickLblPos val="nextTo"/>
        <c:txPr>
          <a:bodyPr/>
          <a:lstStyle/>
          <a:p>
            <a:pPr>
              <a:defRPr sz="1200"/>
            </a:pPr>
            <a:endParaRPr lang="en-US"/>
          </a:p>
        </c:txPr>
        <c:crossAx val="185314304"/>
        <c:crosses val="autoZero"/>
        <c:auto val="1"/>
        <c:lblAlgn val="ctr"/>
        <c:lblOffset val="100"/>
        <c:noMultiLvlLbl val="0"/>
      </c:catAx>
      <c:valAx>
        <c:axId val="185314304"/>
        <c:scaling>
          <c:orientation val="minMax"/>
        </c:scaling>
        <c:delete val="0"/>
        <c:axPos val="l"/>
        <c:majorGridlines>
          <c:spPr>
            <a:ln>
              <a:solidFill>
                <a:schemeClr val="bg1">
                  <a:lumMod val="85000"/>
                </a:schemeClr>
              </a:solidFill>
            </a:ln>
          </c:spPr>
        </c:majorGridlines>
        <c:title>
          <c:tx>
            <c:strRef>
              <c:f>'Table A6'!$B$5</c:f>
              <c:strCache>
                <c:ptCount val="1"/>
                <c:pt idx="0">
                  <c:v>Number of Students</c:v>
                </c:pt>
              </c:strCache>
            </c:strRef>
          </c:tx>
          <c:overlay val="0"/>
          <c:txPr>
            <a:bodyPr rot="-5400000" vert="horz"/>
            <a:lstStyle/>
            <a:p>
              <a:pPr>
                <a:defRPr sz="1200"/>
              </a:pPr>
              <a:endParaRPr lang="en-US"/>
            </a:p>
          </c:txPr>
        </c:title>
        <c:numFmt formatCode="#,##0" sourceLinked="1"/>
        <c:majorTickMark val="out"/>
        <c:minorTickMark val="none"/>
        <c:tickLblPos val="nextTo"/>
        <c:txPr>
          <a:bodyPr/>
          <a:lstStyle/>
          <a:p>
            <a:pPr>
              <a:defRPr sz="1200"/>
            </a:pPr>
            <a:endParaRPr lang="en-US"/>
          </a:p>
        </c:txPr>
        <c:crossAx val="185312768"/>
        <c:crosses val="autoZero"/>
        <c:crossBetween val="between"/>
      </c:valAx>
    </c:plotArea>
    <c:plotVisOnly val="1"/>
    <c:dispBlanksAs val="gap"/>
    <c:showDLblsOverMax val="0"/>
  </c:chart>
  <c:spPr>
    <a:ln>
      <a:noFill/>
    </a:ln>
  </c:spPr>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'Table A6'!$A$7</c:f>
              <c:strCache>
                <c:ptCount val="1"/>
                <c:pt idx="0">
                  <c:v>Income not declared/required</c:v>
                </c:pt>
              </c:strCache>
            </c:strRef>
          </c:tx>
          <c:spPr>
            <a:solidFill>
              <a:srgbClr val="81C9BB"/>
            </a:solidFill>
          </c:spPr>
          <c:dPt>
            <c:idx val="1"/>
            <c:bubble3D val="0"/>
            <c:spPr>
              <a:solidFill>
                <a:srgbClr val="008080"/>
              </a:solidFill>
            </c:spPr>
            <c:extLst xmlns:c16r2="http://schemas.microsoft.com/office/drawing/2015/06/chart">
              <c:ext xmlns:c16="http://schemas.microsoft.com/office/drawing/2014/chart" uri="{C3380CC4-5D6E-409C-BE32-E72D297353CC}">
                <c16:uniqueId val="{00000001-3E11-4363-BA6B-CAC93617604B}"/>
              </c:ext>
            </c:extLst>
          </c:dPt>
          <c:dPt>
            <c:idx val="2"/>
            <c:bubble3D val="0"/>
            <c:spPr>
              <a:solidFill>
                <a:schemeClr val="tx2">
                  <a:lumMod val="60000"/>
                  <a:lumOff val="40000"/>
                </a:schemeClr>
              </a:solidFill>
            </c:spPr>
            <c:extLst xmlns:c16r2="http://schemas.microsoft.com/office/drawing/2015/06/chart">
              <c:ext xmlns:c16="http://schemas.microsoft.com/office/drawing/2014/chart" uri="{C3380CC4-5D6E-409C-BE32-E72D297353CC}">
                <c16:uniqueId val="{00000003-3E11-4363-BA6B-CAC93617604B}"/>
              </c:ext>
            </c:extLst>
          </c:dPt>
          <c:dPt>
            <c:idx val="3"/>
            <c:bubble3D val="0"/>
            <c:explosion val="1"/>
            <c:spPr>
              <a:solidFill>
                <a:schemeClr val="bg1">
                  <a:lumMod val="65000"/>
                </a:schemeClr>
              </a:solidFill>
            </c:spPr>
            <c:extLst xmlns:c16r2="http://schemas.microsoft.com/office/drawing/2015/06/chart">
              <c:ext xmlns:c16="http://schemas.microsoft.com/office/drawing/2014/chart" uri="{C3380CC4-5D6E-409C-BE32-E72D297353CC}">
                <c16:uniqueId val="{00000009-DF0C-4CED-B1AD-B94763423B32}"/>
              </c:ext>
            </c:extLst>
          </c:dPt>
          <c:dLbls>
            <c:dLbl>
              <c:idx val="0"/>
              <c:layout>
                <c:manualLayout>
                  <c:x val="9.5561910182913878E-2"/>
                  <c:y val="1.5179113539769277E-3"/>
                </c:manualLayout>
              </c:layout>
              <c:showLegendKey val="0"/>
              <c:showVal val="1"/>
              <c:showCatName val="1"/>
              <c:showSerName val="0"/>
              <c:showPercent val="0"/>
              <c:showBubbleSize val="0"/>
              <c:separator>
</c:separator>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3E11-4363-BA6B-CAC93617604B}"/>
                </c:ext>
              </c:extLst>
            </c:dLbl>
            <c:dLbl>
              <c:idx val="1"/>
              <c:layout>
                <c:manualLayout>
                  <c:x val="0.20906320444884149"/>
                  <c:y val="0.17759562841530055"/>
                </c:manualLayout>
              </c:layout>
              <c:spPr>
                <a:noFill/>
                <a:ln>
                  <a:noFill/>
                </a:ln>
                <a:effectLst/>
              </c:spPr>
              <c:txPr>
                <a:bodyPr wrap="square" lIns="38100" tIns="19050" rIns="38100" bIns="19050" anchor="ctr">
                  <a:noAutofit/>
                </a:bodyPr>
                <a:lstStyle/>
                <a:p>
                  <a:pPr>
                    <a:defRPr/>
                  </a:pPr>
                  <a:endParaRPr lang="en-US"/>
                </a:p>
              </c:txPr>
              <c:showLegendKey val="0"/>
              <c:showVal val="1"/>
              <c:showCatName val="1"/>
              <c:showSerName val="0"/>
              <c:showPercent val="0"/>
              <c:showBubbleSize val="0"/>
              <c:separator>
</c:separator>
              <c:extLst xmlns:c16r2="http://schemas.microsoft.com/office/drawing/2015/06/chart">
                <c:ext xmlns:c15="http://schemas.microsoft.com/office/drawing/2012/chart" uri="{CE6537A1-D6FC-4f65-9D91-7224C49458BB}">
                  <c15:layout>
                    <c:manualLayout>
                      <c:w val="0.12395860156034713"/>
                      <c:h val="0.33767479884686546"/>
                    </c:manualLayout>
                  </c15:layout>
                </c:ext>
                <c:ext xmlns:c16="http://schemas.microsoft.com/office/drawing/2014/chart" uri="{C3380CC4-5D6E-409C-BE32-E72D297353CC}">
                  <c16:uniqueId val="{00000001-3E11-4363-BA6B-CAC93617604B}"/>
                </c:ext>
              </c:extLst>
            </c:dLbl>
            <c:dLbl>
              <c:idx val="2"/>
              <c:layout>
                <c:manualLayout>
                  <c:x val="7.194790410234865E-2"/>
                  <c:y val="0.32786885245901631"/>
                </c:manualLayout>
              </c:layout>
              <c:spPr>
                <a:noFill/>
                <a:ln>
                  <a:noFill/>
                </a:ln>
                <a:effectLst/>
              </c:spPr>
              <c:txPr>
                <a:bodyPr wrap="square" lIns="38100" tIns="19050" rIns="38100" bIns="19050" anchor="ctr">
                  <a:noAutofit/>
                </a:bodyPr>
                <a:lstStyle/>
                <a:p>
                  <a:pPr>
                    <a:defRPr/>
                  </a:pPr>
                  <a:endParaRPr lang="en-US"/>
                </a:p>
              </c:txPr>
              <c:showLegendKey val="0"/>
              <c:showVal val="1"/>
              <c:showCatName val="1"/>
              <c:showSerName val="0"/>
              <c:showPercent val="0"/>
              <c:showBubbleSize val="0"/>
              <c:separator>
</c:separator>
              <c:extLst xmlns:c16r2="http://schemas.microsoft.com/office/drawing/2015/06/chart">
                <c:ext xmlns:c15="http://schemas.microsoft.com/office/drawing/2012/chart" uri="{CE6537A1-D6FC-4f65-9D91-7224C49458BB}">
                  <c15:layout>
                    <c:manualLayout>
                      <c:w val="0.12619621342512907"/>
                      <c:h val="0.47125099799683506"/>
                    </c:manualLayout>
                  </c15:layout>
                </c:ext>
                <c:ext xmlns:c16="http://schemas.microsoft.com/office/drawing/2014/chart" uri="{C3380CC4-5D6E-409C-BE32-E72D297353CC}">
                  <c16:uniqueId val="{00000003-3E11-4363-BA6B-CAC93617604B}"/>
                </c:ext>
              </c:extLst>
            </c:dLbl>
            <c:spPr>
              <a:noFill/>
              <a:ln>
                <a:noFill/>
              </a:ln>
              <a:effectLst/>
            </c:spPr>
            <c:showLegendKey val="0"/>
            <c:showVal val="1"/>
            <c:showCatName val="1"/>
            <c:showSerName val="0"/>
            <c:showPercent val="0"/>
            <c:showBubbleSize val="0"/>
            <c:separator>
</c:separator>
            <c:showLeaderLines val="1"/>
            <c:extLst xmlns:c16r2="http://schemas.microsoft.com/office/drawing/2015/06/chart">
              <c:ext xmlns:c15="http://schemas.microsoft.com/office/drawing/2012/chart" uri="{CE6537A1-D6FC-4f65-9D91-7224C49458BB}"/>
            </c:extLst>
          </c:dLbls>
          <c:cat>
            <c:strRef>
              <c:f>'Table A6'!$A$8:$A$11</c:f>
              <c:strCache>
                <c:ptCount val="4"/>
                <c:pt idx="0">
                  <c:v>receiving max ISB/YSB bursary</c:v>
                </c:pt>
                <c:pt idx="1">
                  <c:v>receiving CEB bursary</c:v>
                </c:pt>
                <c:pt idx="2">
                  <c:v>receiving less than max ISB/YSB bursary</c:v>
                </c:pt>
                <c:pt idx="3">
                  <c:v>receiving no bursary</c:v>
                </c:pt>
              </c:strCache>
            </c:strRef>
          </c:cat>
          <c:val>
            <c:numRef>
              <c:f>'Table A6'!$B$8:$B$11</c:f>
              <c:numCache>
                <c:formatCode>#,##0</c:formatCode>
                <c:ptCount val="4"/>
                <c:pt idx="0">
                  <c:v>11625</c:v>
                </c:pt>
                <c:pt idx="1">
                  <c:v>545</c:v>
                </c:pt>
                <c:pt idx="2">
                  <c:v>1920</c:v>
                </c:pt>
                <c:pt idx="3">
                  <c:v>90420</c:v>
                </c:pt>
              </c:numCache>
            </c:numRef>
          </c:val>
          <c:extLst xmlns:c16r2="http://schemas.microsoft.com/office/drawing/2015/06/chart">
            <c:ext xmlns:c16="http://schemas.microsoft.com/office/drawing/2014/chart" uri="{C3380CC4-5D6E-409C-BE32-E72D297353CC}">
              <c16:uniqueId val="{00000005-3E11-4363-BA6B-CAC93617604B}"/>
            </c:ext>
          </c:extLst>
        </c:ser>
        <c:dLbls>
          <c:showLegendKey val="0"/>
          <c:showVal val="0"/>
          <c:showCatName val="0"/>
          <c:showSerName val="0"/>
          <c:showPercent val="0"/>
          <c:showBubbleSize val="0"/>
          <c:showLeaderLines val="1"/>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3"/>
          <c:order val="0"/>
          <c:tx>
            <c:strRef>
              <c:f>'Figure 3.7'!$A$39</c:f>
              <c:strCache>
                <c:ptCount val="1"/>
                <c:pt idx="0">
                  <c:v>Postgraduate</c:v>
                </c:pt>
              </c:strCache>
            </c:strRef>
          </c:tx>
          <c:spPr>
            <a:ln>
              <a:solidFill>
                <a:srgbClr val="002060"/>
              </a:solidFill>
            </a:ln>
          </c:spPr>
          <c:marker>
            <c:symbol val="square"/>
            <c:size val="5"/>
            <c:spPr>
              <a:solidFill>
                <a:srgbClr val="002060"/>
              </a:solidFill>
              <a:ln>
                <a:solidFill>
                  <a:srgbClr val="002060"/>
                </a:solidFill>
              </a:ln>
            </c:spPr>
          </c:marker>
          <c:cat>
            <c:strRef>
              <c:f>'Figure 3.7'!$D$32:$M$32</c:f>
              <c:strCache>
                <c:ptCount val="10"/>
                <c:pt idx="0">
                  <c:v>2008-09</c:v>
                </c:pt>
                <c:pt idx="1">
                  <c:v>2009-10</c:v>
                </c:pt>
                <c:pt idx="2">
                  <c:v>2010-11</c:v>
                </c:pt>
                <c:pt idx="3">
                  <c:v>2011-12</c:v>
                </c:pt>
                <c:pt idx="4">
                  <c:v>2012-13</c:v>
                </c:pt>
                <c:pt idx="5">
                  <c:v>2013-14</c:v>
                </c:pt>
                <c:pt idx="6">
                  <c:v>2014-15</c:v>
                </c:pt>
                <c:pt idx="7">
                  <c:v>2015-16</c:v>
                </c:pt>
                <c:pt idx="8">
                  <c:v>2016-17</c:v>
                </c:pt>
                <c:pt idx="9">
                  <c:v>2017-18</c:v>
                </c:pt>
              </c:strCache>
            </c:strRef>
          </c:cat>
          <c:val>
            <c:numRef>
              <c:f>'Figure 3.7'!$D$39:$M$39</c:f>
              <c:numCache>
                <c:formatCode>0.0%</c:formatCode>
                <c:ptCount val="10"/>
                <c:pt idx="0">
                  <c:v>3.8087228162922024E-2</c:v>
                </c:pt>
                <c:pt idx="1">
                  <c:v>3.2828282828282832E-2</c:v>
                </c:pt>
                <c:pt idx="2">
                  <c:v>2.9472498592078091E-2</c:v>
                </c:pt>
                <c:pt idx="3">
                  <c:v>2.8173744309276813E-2</c:v>
                </c:pt>
                <c:pt idx="4">
                  <c:v>2.5410895660203138E-2</c:v>
                </c:pt>
                <c:pt idx="5">
                  <c:v>2.6517083120856707E-2</c:v>
                </c:pt>
                <c:pt idx="6">
                  <c:v>2.5794647341608669E-2</c:v>
                </c:pt>
                <c:pt idx="7">
                  <c:v>2.9419053350798315E-2</c:v>
                </c:pt>
                <c:pt idx="8">
                  <c:v>3.7386759581881535E-2</c:v>
                </c:pt>
                <c:pt idx="9">
                  <c:v>5.6010005408328824E-2</c:v>
                </c:pt>
              </c:numCache>
            </c:numRef>
          </c:val>
          <c:smooth val="0"/>
          <c:extLst xmlns:c16r2="http://schemas.microsoft.com/office/drawing/2015/06/chart">
            <c:ext xmlns:c16="http://schemas.microsoft.com/office/drawing/2014/chart" uri="{C3380CC4-5D6E-409C-BE32-E72D297353CC}">
              <c16:uniqueId val="{00000000-26F8-4395-A9AF-52DFFD4ABDB5}"/>
            </c:ext>
          </c:extLst>
        </c:ser>
        <c:ser>
          <c:idx val="0"/>
          <c:order val="1"/>
          <c:tx>
            <c:strRef>
              <c:f>'Figure 3.7'!$A$40</c:f>
              <c:strCache>
                <c:ptCount val="1"/>
                <c:pt idx="0">
                  <c:v>First Degree</c:v>
                </c:pt>
              </c:strCache>
            </c:strRef>
          </c:tx>
          <c:marker>
            <c:symbol val="circle"/>
            <c:size val="5"/>
          </c:marker>
          <c:dPt>
            <c:idx val="6"/>
            <c:marker>
              <c:spPr>
                <a:solidFill>
                  <a:srgbClr val="4F81BD"/>
                </a:solidFill>
                <a:ln>
                  <a:solidFill>
                    <a:srgbClr val="4F81BD"/>
                  </a:solidFill>
                </a:ln>
              </c:spPr>
            </c:marker>
            <c:bubble3D val="0"/>
            <c:spPr>
              <a:ln>
                <a:solidFill>
                  <a:srgbClr val="4F81BD"/>
                </a:solidFill>
              </a:ln>
            </c:spPr>
            <c:extLst xmlns:c16r2="http://schemas.microsoft.com/office/drawing/2015/06/chart">
              <c:ext xmlns:c16="http://schemas.microsoft.com/office/drawing/2014/chart" uri="{C3380CC4-5D6E-409C-BE32-E72D297353CC}">
                <c16:uniqueId val="{00000002-26F8-4395-A9AF-52DFFD4ABDB5}"/>
              </c:ext>
            </c:extLst>
          </c:dPt>
          <c:cat>
            <c:strRef>
              <c:f>'Figure 3.7'!$D$32:$M$32</c:f>
              <c:strCache>
                <c:ptCount val="10"/>
                <c:pt idx="0">
                  <c:v>2008-09</c:v>
                </c:pt>
                <c:pt idx="1">
                  <c:v>2009-10</c:v>
                </c:pt>
                <c:pt idx="2">
                  <c:v>2010-11</c:v>
                </c:pt>
                <c:pt idx="3">
                  <c:v>2011-12</c:v>
                </c:pt>
                <c:pt idx="4">
                  <c:v>2012-13</c:v>
                </c:pt>
                <c:pt idx="5">
                  <c:v>2013-14</c:v>
                </c:pt>
                <c:pt idx="6">
                  <c:v>2014-15</c:v>
                </c:pt>
                <c:pt idx="7">
                  <c:v>2015-16</c:v>
                </c:pt>
                <c:pt idx="8">
                  <c:v>2016-17</c:v>
                </c:pt>
                <c:pt idx="9">
                  <c:v>2017-18</c:v>
                </c:pt>
              </c:strCache>
            </c:strRef>
          </c:cat>
          <c:val>
            <c:numRef>
              <c:f>'Figure 3.7'!$D$40:$M$40</c:f>
              <c:numCache>
                <c:formatCode>0.0%</c:formatCode>
                <c:ptCount val="10"/>
                <c:pt idx="0">
                  <c:v>0.73763466698706392</c:v>
                </c:pt>
                <c:pt idx="1">
                  <c:v>0.73381542699724522</c:v>
                </c:pt>
                <c:pt idx="2">
                  <c:v>0.72783930917965078</c:v>
                </c:pt>
                <c:pt idx="3">
                  <c:v>0.72774087618478989</c:v>
                </c:pt>
                <c:pt idx="4">
                  <c:v>0.73351800554016622</c:v>
                </c:pt>
                <c:pt idx="5">
                  <c:v>0.72889196474102136</c:v>
                </c:pt>
                <c:pt idx="6">
                  <c:v>0.72953289804118537</c:v>
                </c:pt>
                <c:pt idx="7">
                  <c:v>0.72913937763302294</c:v>
                </c:pt>
                <c:pt idx="8">
                  <c:v>0.72498257839721258</c:v>
                </c:pt>
                <c:pt idx="9">
                  <c:v>0.71318956192536509</c:v>
                </c:pt>
              </c:numCache>
            </c:numRef>
          </c:val>
          <c:smooth val="0"/>
          <c:extLst xmlns:c16r2="http://schemas.microsoft.com/office/drawing/2015/06/chart">
            <c:ext xmlns:c16="http://schemas.microsoft.com/office/drawing/2014/chart" uri="{C3380CC4-5D6E-409C-BE32-E72D297353CC}">
              <c16:uniqueId val="{00000003-26F8-4395-A9AF-52DFFD4ABDB5}"/>
            </c:ext>
          </c:extLst>
        </c:ser>
        <c:ser>
          <c:idx val="2"/>
          <c:order val="2"/>
          <c:tx>
            <c:strRef>
              <c:f>'Figure 3.7'!$A$41</c:f>
              <c:strCache>
                <c:ptCount val="1"/>
                <c:pt idx="0">
                  <c:v>Other undergraduate</c:v>
                </c:pt>
              </c:strCache>
            </c:strRef>
          </c:tx>
          <c:spPr>
            <a:ln>
              <a:solidFill>
                <a:srgbClr val="008080"/>
              </a:solidFill>
            </a:ln>
          </c:spPr>
          <c:marker>
            <c:symbol val="triangle"/>
            <c:size val="5"/>
            <c:spPr>
              <a:solidFill>
                <a:srgbClr val="008080"/>
              </a:solidFill>
              <a:ln>
                <a:solidFill>
                  <a:srgbClr val="008080"/>
                </a:solidFill>
              </a:ln>
            </c:spPr>
          </c:marker>
          <c:cat>
            <c:strRef>
              <c:f>'Figure 3.7'!$D$32:$M$32</c:f>
              <c:strCache>
                <c:ptCount val="10"/>
                <c:pt idx="0">
                  <c:v>2008-09</c:v>
                </c:pt>
                <c:pt idx="1">
                  <c:v>2009-10</c:v>
                </c:pt>
                <c:pt idx="2">
                  <c:v>2010-11</c:v>
                </c:pt>
                <c:pt idx="3">
                  <c:v>2011-12</c:v>
                </c:pt>
                <c:pt idx="4">
                  <c:v>2012-13</c:v>
                </c:pt>
                <c:pt idx="5">
                  <c:v>2013-14</c:v>
                </c:pt>
                <c:pt idx="6">
                  <c:v>2014-15</c:v>
                </c:pt>
                <c:pt idx="7">
                  <c:v>2015-16</c:v>
                </c:pt>
                <c:pt idx="8">
                  <c:v>2016-17</c:v>
                </c:pt>
                <c:pt idx="9">
                  <c:v>2017-18</c:v>
                </c:pt>
              </c:strCache>
            </c:strRef>
          </c:cat>
          <c:val>
            <c:numRef>
              <c:f>'Figure 3.7'!$D$41:$M$41</c:f>
              <c:numCache>
                <c:formatCode>0.0%</c:formatCode>
                <c:ptCount val="10"/>
                <c:pt idx="0">
                  <c:v>0.22391765789579077</c:v>
                </c:pt>
                <c:pt idx="1">
                  <c:v>0.23308846036118763</c:v>
                </c:pt>
                <c:pt idx="2">
                  <c:v>0.24268819222827107</c:v>
                </c:pt>
                <c:pt idx="3">
                  <c:v>0.24408537950593329</c:v>
                </c:pt>
                <c:pt idx="4">
                  <c:v>0.24107109879963065</c:v>
                </c:pt>
                <c:pt idx="5">
                  <c:v>0.24459095213812196</c:v>
                </c:pt>
                <c:pt idx="6">
                  <c:v>0.24467245461720599</c:v>
                </c:pt>
                <c:pt idx="7">
                  <c:v>0.23977767550536341</c:v>
                </c:pt>
                <c:pt idx="8">
                  <c:v>0.23763066202090594</c:v>
                </c:pt>
                <c:pt idx="9">
                  <c:v>0.23080043266630612</c:v>
                </c:pt>
              </c:numCache>
            </c:numRef>
          </c:val>
          <c:smooth val="0"/>
          <c:extLst xmlns:c16r2="http://schemas.microsoft.com/office/drawing/2015/06/chart">
            <c:ext xmlns:c16="http://schemas.microsoft.com/office/drawing/2014/chart" uri="{C3380CC4-5D6E-409C-BE32-E72D297353CC}">
              <c16:uniqueId val="{00000004-26F8-4395-A9AF-52DFFD4ABDB5}"/>
            </c:ext>
          </c:extLst>
        </c:ser>
        <c:dLbls>
          <c:showLegendKey val="0"/>
          <c:showVal val="0"/>
          <c:showCatName val="0"/>
          <c:showSerName val="0"/>
          <c:showPercent val="0"/>
          <c:showBubbleSize val="0"/>
        </c:dLbls>
        <c:marker val="1"/>
        <c:smooth val="0"/>
        <c:axId val="185513472"/>
        <c:axId val="185515392"/>
      </c:lineChart>
      <c:catAx>
        <c:axId val="185513472"/>
        <c:scaling>
          <c:orientation val="minMax"/>
        </c:scaling>
        <c:delete val="0"/>
        <c:axPos val="b"/>
        <c:numFmt formatCode="General" sourceLinked="1"/>
        <c:majorTickMark val="out"/>
        <c:minorTickMark val="none"/>
        <c:tickLblPos val="nextTo"/>
        <c:txPr>
          <a:bodyPr/>
          <a:lstStyle/>
          <a:p>
            <a:pPr>
              <a:defRPr sz="1200"/>
            </a:pPr>
            <a:endParaRPr lang="en-US"/>
          </a:p>
        </c:txPr>
        <c:crossAx val="185515392"/>
        <c:crosses val="autoZero"/>
        <c:auto val="1"/>
        <c:lblAlgn val="ctr"/>
        <c:lblOffset val="100"/>
        <c:noMultiLvlLbl val="0"/>
      </c:catAx>
      <c:valAx>
        <c:axId val="185515392"/>
        <c:scaling>
          <c:orientation val="minMax"/>
        </c:scaling>
        <c:delete val="0"/>
        <c:axPos val="l"/>
        <c:majorGridlines>
          <c:spPr>
            <a:ln>
              <a:solidFill>
                <a:schemeClr val="bg1">
                  <a:lumMod val="85000"/>
                </a:schemeClr>
              </a:solidFill>
            </a:ln>
          </c:spPr>
        </c:majorGridlines>
        <c:title>
          <c:tx>
            <c:strRef>
              <c:f>'Figure 3.7'!$A$38</c:f>
              <c:strCache>
                <c:ptCount val="1"/>
                <c:pt idx="0">
                  <c:v>Percentage of supported students</c:v>
                </c:pt>
              </c:strCache>
            </c:strRef>
          </c:tx>
          <c:overlay val="0"/>
          <c:txPr>
            <a:bodyPr rot="-5400000" vert="horz"/>
            <a:lstStyle/>
            <a:p>
              <a:pPr>
                <a:defRPr sz="1200"/>
              </a:pPr>
              <a:endParaRPr lang="en-US"/>
            </a:p>
          </c:txPr>
        </c:title>
        <c:numFmt formatCode="0%" sourceLinked="0"/>
        <c:majorTickMark val="out"/>
        <c:minorTickMark val="none"/>
        <c:tickLblPos val="nextTo"/>
        <c:txPr>
          <a:bodyPr/>
          <a:lstStyle/>
          <a:p>
            <a:pPr>
              <a:defRPr sz="1200"/>
            </a:pPr>
            <a:endParaRPr lang="en-US"/>
          </a:p>
        </c:txPr>
        <c:crossAx val="185513472"/>
        <c:crosses val="autoZero"/>
        <c:crossBetween val="between"/>
      </c:valAx>
    </c:plotArea>
    <c:legend>
      <c:legendPos val="b"/>
      <c:overlay val="0"/>
      <c:txPr>
        <a:bodyPr/>
        <a:lstStyle/>
        <a:p>
          <a:pPr>
            <a:defRPr sz="1200"/>
          </a:pPr>
          <a:endParaRPr lang="en-US"/>
        </a:p>
      </c:txPr>
    </c:legend>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 Id="rId4" Type="http://schemas.openxmlformats.org/officeDocument/2006/relationships/chart" Target="../charts/chart19.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6.xml"/></Relationships>
</file>

<file path=xl/drawings/_rels/drawing8.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3</xdr:col>
      <xdr:colOff>1371600</xdr:colOff>
      <xdr:row>0</xdr:row>
      <xdr:rowOff>95250</xdr:rowOff>
    </xdr:from>
    <xdr:to>
      <xdr:col>4</xdr:col>
      <xdr:colOff>1148455</xdr:colOff>
      <xdr:row>1</xdr:row>
      <xdr:rowOff>221783</xdr:rowOff>
    </xdr:to>
    <xdr:pic>
      <xdr:nvPicPr>
        <xdr:cNvPr id="2" name="Picture 1"/>
        <xdr:cNvPicPr>
          <a:picLocks noChangeAspect="1"/>
        </xdr:cNvPicPr>
      </xdr:nvPicPr>
      <xdr:blipFill>
        <a:blip xmlns:r="http://schemas.openxmlformats.org/officeDocument/2006/relationships" r:embed="rId1">
          <a:biLevel thresh="25000"/>
        </a:blip>
        <a:stretch>
          <a:fillRect/>
        </a:stretch>
      </xdr:blipFill>
      <xdr:spPr>
        <a:xfrm>
          <a:off x="8324850" y="95250"/>
          <a:ext cx="1396105" cy="46943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absolute">
    <xdr:from>
      <xdr:col>0</xdr:col>
      <xdr:colOff>0</xdr:colOff>
      <xdr:row>3</xdr:row>
      <xdr:rowOff>0</xdr:rowOff>
    </xdr:from>
    <xdr:to>
      <xdr:col>10</xdr:col>
      <xdr:colOff>428625</xdr:colOff>
      <xdr:row>23</xdr:row>
      <xdr:rowOff>114300</xdr:rowOff>
    </xdr:to>
    <xdr:graphicFrame macro="">
      <xdr:nvGraphicFramePr>
        <xdr:cNvPr id="559180"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133350</xdr:colOff>
      <xdr:row>3</xdr:row>
      <xdr:rowOff>95250</xdr:rowOff>
    </xdr:from>
    <xdr:to>
      <xdr:col>6</xdr:col>
      <xdr:colOff>138359</xdr:colOff>
      <xdr:row>33</xdr:row>
      <xdr:rowOff>66675</xdr:rowOff>
    </xdr:to>
    <xdr:grpSp>
      <xdr:nvGrpSpPr>
        <xdr:cNvPr id="6" name="Group 5"/>
        <xdr:cNvGrpSpPr/>
      </xdr:nvGrpSpPr>
      <xdr:grpSpPr>
        <a:xfrm>
          <a:off x="133350" y="828675"/>
          <a:ext cx="7815509" cy="5972175"/>
          <a:chOff x="133350" y="828675"/>
          <a:chExt cx="7815509" cy="5972175"/>
        </a:xfrm>
      </xdr:grpSpPr>
      <xdr:sp macro="" textlink="">
        <xdr:nvSpPr>
          <xdr:cNvPr id="56" name="Up Arrow 1"/>
          <xdr:cNvSpPr/>
        </xdr:nvSpPr>
        <xdr:spPr bwMode="auto">
          <a:xfrm>
            <a:off x="990600" y="1952625"/>
            <a:ext cx="128646" cy="190500"/>
          </a:xfrm>
          <a:prstGeom prst="downArrow">
            <a:avLst/>
          </a:prstGeom>
          <a:solidFill>
            <a:srgbClr val="008080"/>
          </a:solidFill>
          <a:ln>
            <a:solidFill>
              <a:srgbClr val="008080"/>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grpSp>
        <xdr:nvGrpSpPr>
          <xdr:cNvPr id="20" name="Group 19"/>
          <xdr:cNvGrpSpPr/>
        </xdr:nvGrpSpPr>
        <xdr:grpSpPr>
          <a:xfrm>
            <a:off x="133350" y="828675"/>
            <a:ext cx="7815509" cy="5972175"/>
            <a:chOff x="133350" y="828675"/>
            <a:chExt cx="7815509" cy="5972175"/>
          </a:xfrm>
        </xdr:grpSpPr>
        <xdr:cxnSp macro="">
          <xdr:nvCxnSpPr>
            <xdr:cNvPr id="63" name="Straight Connector 62"/>
            <xdr:cNvCxnSpPr/>
          </xdr:nvCxnSpPr>
          <xdr:spPr>
            <a:xfrm flipH="1">
              <a:off x="6297013" y="6238874"/>
              <a:ext cx="0" cy="108000"/>
            </a:xfrm>
            <a:prstGeom prst="line">
              <a:avLst/>
            </a:prstGeom>
            <a:ln>
              <a:solidFill>
                <a:schemeClr val="accent2">
                  <a:lumMod val="60000"/>
                  <a:lumOff val="40000"/>
                </a:schemeClr>
              </a:solidFill>
            </a:ln>
          </xdr:spPr>
          <xdr:style>
            <a:lnRef idx="1">
              <a:schemeClr val="accent1"/>
            </a:lnRef>
            <a:fillRef idx="0">
              <a:schemeClr val="accent1"/>
            </a:fillRef>
            <a:effectRef idx="0">
              <a:schemeClr val="accent1"/>
            </a:effectRef>
            <a:fontRef idx="minor">
              <a:schemeClr val="tx1"/>
            </a:fontRef>
          </xdr:style>
        </xdr:cxnSp>
        <xdr:grpSp>
          <xdr:nvGrpSpPr>
            <xdr:cNvPr id="16" name="Group 15"/>
            <xdr:cNvGrpSpPr/>
          </xdr:nvGrpSpPr>
          <xdr:grpSpPr>
            <a:xfrm>
              <a:off x="133350" y="828675"/>
              <a:ext cx="7815509" cy="5972175"/>
              <a:chOff x="104775" y="828675"/>
              <a:chExt cx="7815509" cy="5972175"/>
            </a:xfrm>
          </xdr:grpSpPr>
          <xdr:cxnSp macro="">
            <xdr:nvCxnSpPr>
              <xdr:cNvPr id="15" name="Straight Connector 14"/>
              <xdr:cNvCxnSpPr>
                <a:endCxn id="433" idx="0"/>
              </xdr:cNvCxnSpPr>
            </xdr:nvCxnSpPr>
            <xdr:spPr>
              <a:xfrm>
                <a:off x="6515100" y="6124575"/>
                <a:ext cx="0" cy="228600"/>
              </a:xfrm>
              <a:prstGeom prst="line">
                <a:avLst/>
              </a:prstGeom>
              <a:ln>
                <a:solidFill>
                  <a:schemeClr val="accent2">
                    <a:lumMod val="60000"/>
                    <a:lumOff val="40000"/>
                  </a:schemeClr>
                </a:solidFill>
              </a:ln>
            </xdr:spPr>
            <xdr:style>
              <a:lnRef idx="1">
                <a:schemeClr val="accent1"/>
              </a:lnRef>
              <a:fillRef idx="0">
                <a:schemeClr val="accent1"/>
              </a:fillRef>
              <a:effectRef idx="0">
                <a:schemeClr val="accent1"/>
              </a:effectRef>
              <a:fontRef idx="minor">
                <a:schemeClr val="tx1"/>
              </a:fontRef>
            </xdr:style>
          </xdr:cxnSp>
          <xdr:grpSp>
            <xdr:nvGrpSpPr>
              <xdr:cNvPr id="5" name="Group 4"/>
              <xdr:cNvGrpSpPr/>
            </xdr:nvGrpSpPr>
            <xdr:grpSpPr>
              <a:xfrm>
                <a:off x="104775" y="828675"/>
                <a:ext cx="7815509" cy="5972175"/>
                <a:chOff x="104775" y="828675"/>
                <a:chExt cx="7815509" cy="5972175"/>
              </a:xfrm>
            </xdr:grpSpPr>
            <xdr:grpSp>
              <xdr:nvGrpSpPr>
                <xdr:cNvPr id="1586175" name="Group 2"/>
                <xdr:cNvGrpSpPr>
                  <a:grpSpLocks/>
                </xdr:cNvGrpSpPr>
              </xdr:nvGrpSpPr>
              <xdr:grpSpPr bwMode="auto">
                <a:xfrm>
                  <a:off x="418561" y="1466850"/>
                  <a:ext cx="7258556" cy="514351"/>
                  <a:chOff x="955244" y="1295400"/>
                  <a:chExt cx="5374266" cy="514351"/>
                </a:xfrm>
              </xdr:grpSpPr>
              <xdr:grpSp>
                <xdr:nvGrpSpPr>
                  <xdr:cNvPr id="2198570" name="Group 481"/>
                  <xdr:cNvGrpSpPr>
                    <a:grpSpLocks/>
                  </xdr:cNvGrpSpPr>
                </xdr:nvGrpSpPr>
                <xdr:grpSpPr bwMode="auto">
                  <a:xfrm>
                    <a:off x="955244" y="1295401"/>
                    <a:ext cx="1759358" cy="514350"/>
                    <a:chOff x="857140" y="942975"/>
                    <a:chExt cx="1734016" cy="514754"/>
                  </a:xfrm>
                </xdr:grpSpPr>
                <xdr:sp macro="" textlink="">
                  <xdr:nvSpPr>
                    <xdr:cNvPr id="446" name="Rectangle 445"/>
                    <xdr:cNvSpPr/>
                  </xdr:nvSpPr>
                  <xdr:spPr>
                    <a:xfrm>
                      <a:off x="857140" y="1047832"/>
                      <a:ext cx="103265" cy="104857"/>
                    </a:xfrm>
                    <a:prstGeom prst="rect">
                      <a:avLst/>
                    </a:prstGeom>
                    <a:solidFill>
                      <a:srgbClr val="00206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sz="1050"/>
                    </a:p>
                  </xdr:txBody>
                </xdr:sp>
                <xdr:sp macro="" textlink="">
                  <xdr:nvSpPr>
                    <xdr:cNvPr id="447" name="Rectangle 446"/>
                    <xdr:cNvSpPr/>
                  </xdr:nvSpPr>
                  <xdr:spPr>
                    <a:xfrm>
                      <a:off x="857140" y="1200352"/>
                      <a:ext cx="103265" cy="104857"/>
                    </a:xfrm>
                    <a:prstGeom prst="rect">
                      <a:avLst/>
                    </a:prstGeom>
                    <a:solidFill>
                      <a:srgbClr val="002060">
                        <a:alpha val="70000"/>
                      </a:srgb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sz="1050"/>
                    </a:p>
                  </xdr:txBody>
                </xdr:sp>
                <xdr:sp macro="" textlink="A45">
                  <xdr:nvSpPr>
                    <xdr:cNvPr id="450" name="TextBox 449"/>
                    <xdr:cNvSpPr txBox="1"/>
                  </xdr:nvSpPr>
                  <xdr:spPr>
                    <a:xfrm>
                      <a:off x="1032789" y="942975"/>
                      <a:ext cx="1145305" cy="3336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fld id="{CF9DAA09-4DDE-4485-ABB6-FFA094C867FB}" type="TxLink">
                        <a:rPr lang="en-GB" sz="1200" b="1">
                          <a:solidFill>
                            <a:sysClr val="windowText" lastClr="000000"/>
                          </a:solidFill>
                        </a:rPr>
                        <a:pPr/>
                        <a:t>Bursary</a:t>
                      </a:fld>
                      <a:endParaRPr lang="en-GB" sz="1200" b="1">
                        <a:solidFill>
                          <a:sysClr val="windowText" lastClr="000000"/>
                        </a:solidFill>
                      </a:endParaRPr>
                    </a:p>
                  </xdr:txBody>
                </xdr:sp>
                <xdr:sp macro="" textlink="E45">
                  <xdr:nvSpPr>
                    <xdr:cNvPr id="451" name="TextBox 450"/>
                    <xdr:cNvSpPr txBox="1"/>
                  </xdr:nvSpPr>
                  <xdr:spPr>
                    <a:xfrm>
                      <a:off x="1023402" y="1124092"/>
                      <a:ext cx="1567754" cy="3336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fld id="{543C4B5F-2637-4971-9394-518CD0AE6136}" type="TxLink">
                        <a:rPr lang="en-GB" sz="1100" b="1">
                          <a:solidFill>
                            <a:sysClr val="windowText" lastClr="000000"/>
                          </a:solidFill>
                        </a:rPr>
                        <a:pPr/>
                        <a:t>£63.1 million (82.6%)</a:t>
                      </a:fld>
                      <a:endParaRPr lang="en-GB" sz="1100" b="1">
                        <a:solidFill>
                          <a:sysClr val="windowText" lastClr="000000"/>
                        </a:solidFill>
                      </a:endParaRPr>
                    </a:p>
                  </xdr:txBody>
                </xdr:sp>
              </xdr:grpSp>
              <xdr:grpSp>
                <xdr:nvGrpSpPr>
                  <xdr:cNvPr id="2198571" name="Group 482"/>
                  <xdr:cNvGrpSpPr>
                    <a:grpSpLocks/>
                  </xdr:cNvGrpSpPr>
                </xdr:nvGrpSpPr>
                <xdr:grpSpPr bwMode="auto">
                  <a:xfrm>
                    <a:off x="2607819" y="1295400"/>
                    <a:ext cx="2238376" cy="514350"/>
                    <a:chOff x="457067" y="2266949"/>
                    <a:chExt cx="2206124" cy="514754"/>
                  </a:xfrm>
                </xdr:grpSpPr>
                <xdr:sp macro="" textlink="">
                  <xdr:nvSpPr>
                    <xdr:cNvPr id="470" name="Rectangle 469"/>
                    <xdr:cNvSpPr/>
                  </xdr:nvSpPr>
                  <xdr:spPr>
                    <a:xfrm>
                      <a:off x="457068" y="2371806"/>
                      <a:ext cx="103265" cy="104857"/>
                    </a:xfrm>
                    <a:prstGeom prst="rect">
                      <a:avLst/>
                    </a:prstGeom>
                    <a:solidFill>
                      <a:srgbClr val="00808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sz="1050"/>
                    </a:p>
                  </xdr:txBody>
                </xdr:sp>
                <xdr:sp macro="" textlink="">
                  <xdr:nvSpPr>
                    <xdr:cNvPr id="471" name="Rectangle 470"/>
                    <xdr:cNvSpPr/>
                  </xdr:nvSpPr>
                  <xdr:spPr>
                    <a:xfrm>
                      <a:off x="457067" y="2524326"/>
                      <a:ext cx="103265" cy="104857"/>
                    </a:xfrm>
                    <a:prstGeom prst="rect">
                      <a:avLst/>
                    </a:prstGeom>
                    <a:solidFill>
                      <a:srgbClr val="008080">
                        <a:alpha val="70000"/>
                      </a:srgb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sz="1050"/>
                    </a:p>
                  </xdr:txBody>
                </xdr:sp>
                <xdr:sp macro="" textlink="">
                  <xdr:nvSpPr>
                    <xdr:cNvPr id="472" name="Rectangle 471"/>
                    <xdr:cNvSpPr/>
                  </xdr:nvSpPr>
                  <xdr:spPr>
                    <a:xfrm>
                      <a:off x="607271" y="2371806"/>
                      <a:ext cx="103265" cy="104857"/>
                    </a:xfrm>
                    <a:prstGeom prst="rect">
                      <a:avLst/>
                    </a:prstGeom>
                    <a:solidFill>
                      <a:srgbClr val="008080">
                        <a:alpha val="40000"/>
                      </a:srgb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sz="1050"/>
                    </a:p>
                  </xdr:txBody>
                </xdr:sp>
                <xdr:sp macro="" textlink="A50">
                  <xdr:nvSpPr>
                    <xdr:cNvPr id="474" name="TextBox 473"/>
                    <xdr:cNvSpPr txBox="1"/>
                  </xdr:nvSpPr>
                  <xdr:spPr>
                    <a:xfrm>
                      <a:off x="785640" y="2266949"/>
                      <a:ext cx="1877551" cy="3336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fld id="{B2C18370-0B68-4C9C-8DDC-2BF05DB5C4B2}" type="TxLink">
                        <a:rPr lang="en-GB" sz="1200" b="1">
                          <a:solidFill>
                            <a:sysClr val="windowText" lastClr="000000"/>
                          </a:solidFill>
                        </a:rPr>
                        <a:pPr/>
                        <a:t>Living Cost Grants</a:t>
                      </a:fld>
                      <a:endParaRPr lang="en-GB" sz="1200" b="1">
                        <a:solidFill>
                          <a:sysClr val="windowText" lastClr="000000"/>
                        </a:solidFill>
                      </a:endParaRPr>
                    </a:p>
                  </xdr:txBody>
                </xdr:sp>
                <xdr:sp macro="" textlink="E50">
                  <xdr:nvSpPr>
                    <xdr:cNvPr id="475" name="TextBox 474"/>
                    <xdr:cNvSpPr txBox="1"/>
                  </xdr:nvSpPr>
                  <xdr:spPr>
                    <a:xfrm>
                      <a:off x="776252" y="2448066"/>
                      <a:ext cx="1567755" cy="3336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fld id="{6554FE13-4B1C-4B4A-A99B-6EAE734CC0E9}" type="TxLink">
                        <a:rPr lang="en-GB" sz="1100" b="1">
                          <a:solidFill>
                            <a:sysClr val="windowText" lastClr="000000"/>
                          </a:solidFill>
                        </a:rPr>
                        <a:pPr/>
                        <a:t>£12.9 million (16.9%)</a:t>
                      </a:fld>
                      <a:endParaRPr lang="en-GB" sz="1100" b="1">
                        <a:solidFill>
                          <a:sysClr val="windowText" lastClr="000000"/>
                        </a:solidFill>
                      </a:endParaRPr>
                    </a:p>
                  </xdr:txBody>
                </xdr:sp>
              </xdr:grpSp>
              <xdr:grpSp>
                <xdr:nvGrpSpPr>
                  <xdr:cNvPr id="2198572" name="Group 483"/>
                  <xdr:cNvGrpSpPr>
                    <a:grpSpLocks/>
                  </xdr:cNvGrpSpPr>
                </xdr:nvGrpSpPr>
                <xdr:grpSpPr bwMode="auto">
                  <a:xfrm>
                    <a:off x="4814502" y="1295400"/>
                    <a:ext cx="1515008" cy="514350"/>
                    <a:chOff x="494646" y="3133723"/>
                    <a:chExt cx="1493187" cy="514754"/>
                  </a:xfrm>
                </xdr:grpSpPr>
                <xdr:sp macro="" textlink="">
                  <xdr:nvSpPr>
                    <xdr:cNvPr id="476" name="Rectangle 475"/>
                    <xdr:cNvSpPr/>
                  </xdr:nvSpPr>
                  <xdr:spPr>
                    <a:xfrm>
                      <a:off x="494646" y="3238580"/>
                      <a:ext cx="103265" cy="104857"/>
                    </a:xfrm>
                    <a:prstGeom prst="rect">
                      <a:avLst/>
                    </a:prstGeom>
                    <a:solidFill>
                      <a:schemeClr val="bg1">
                        <a:lumMod val="7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sz="1050"/>
                    </a:p>
                  </xdr:txBody>
                </xdr:sp>
                <xdr:sp macro="" textlink="A55">
                  <xdr:nvSpPr>
                    <xdr:cNvPr id="480" name="TextBox 479"/>
                    <xdr:cNvSpPr txBox="1"/>
                  </xdr:nvSpPr>
                  <xdr:spPr>
                    <a:xfrm>
                      <a:off x="670298" y="3133723"/>
                      <a:ext cx="1145306" cy="3336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fld id="{54096166-6533-455A-9643-6B1FF42DDE58}" type="TxLink">
                        <a:rPr lang="en-GB" sz="1200" b="1">
                          <a:solidFill>
                            <a:sysClr val="windowText" lastClr="000000"/>
                          </a:solidFill>
                        </a:rPr>
                        <a:pPr/>
                        <a:t>Other</a:t>
                      </a:fld>
                      <a:endParaRPr lang="en-GB" sz="1200" b="1">
                        <a:solidFill>
                          <a:sysClr val="windowText" lastClr="000000"/>
                        </a:solidFill>
                      </a:endParaRPr>
                    </a:p>
                  </xdr:txBody>
                </xdr:sp>
                <xdr:sp macro="" textlink="E55">
                  <xdr:nvSpPr>
                    <xdr:cNvPr id="481" name="TextBox 480"/>
                    <xdr:cNvSpPr txBox="1"/>
                  </xdr:nvSpPr>
                  <xdr:spPr>
                    <a:xfrm>
                      <a:off x="660910" y="3314840"/>
                      <a:ext cx="1326923" cy="3336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fld id="{3D1E889F-3BC9-4AF7-84CD-0B9875B4EB80}" type="TxLink">
                        <a:rPr lang="en-GB" sz="1100" b="1">
                          <a:solidFill>
                            <a:sysClr val="windowText" lastClr="000000"/>
                          </a:solidFill>
                        </a:rPr>
                        <a:pPr/>
                        <a:t>£0.4 million (0.5%)</a:t>
                      </a:fld>
                      <a:endParaRPr lang="en-GB" sz="1100" b="1">
                        <a:solidFill>
                          <a:sysClr val="windowText" lastClr="000000"/>
                        </a:solidFill>
                      </a:endParaRPr>
                    </a:p>
                  </xdr:txBody>
                </xdr:sp>
              </xdr:grpSp>
            </xdr:grpSp>
            <xdr:grpSp>
              <xdr:nvGrpSpPr>
                <xdr:cNvPr id="7" name="Group 6"/>
                <xdr:cNvGrpSpPr/>
              </xdr:nvGrpSpPr>
              <xdr:grpSpPr>
                <a:xfrm>
                  <a:off x="133844" y="828675"/>
                  <a:ext cx="7771906" cy="352425"/>
                  <a:chOff x="133844" y="828675"/>
                  <a:chExt cx="7771906" cy="352425"/>
                </a:xfrm>
              </xdr:grpSpPr>
              <xdr:sp macro="" textlink="">
                <xdr:nvSpPr>
                  <xdr:cNvPr id="66" name="TextBox 65"/>
                  <xdr:cNvSpPr txBox="1"/>
                </xdr:nvSpPr>
                <xdr:spPr bwMode="auto">
                  <a:xfrm>
                    <a:off x="133844" y="828675"/>
                    <a:ext cx="2354228" cy="352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800" b="1"/>
                      <a:t>Awards made:</a:t>
                    </a:r>
                  </a:p>
                </xdr:txBody>
              </xdr:sp>
              <xdr:sp macro="" textlink="E43">
                <xdr:nvSpPr>
                  <xdr:cNvPr id="67" name="TextBox 66"/>
                  <xdr:cNvSpPr txBox="1"/>
                </xdr:nvSpPr>
                <xdr:spPr bwMode="auto">
                  <a:xfrm>
                    <a:off x="2295102" y="828675"/>
                    <a:ext cx="5610648" cy="352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fld id="{50A2B1F8-1A4B-4546-85A0-BF1983DC802C}" type="TxLink">
                      <a:rPr lang="en-US" sz="1800" b="1"/>
                      <a:pPr/>
                      <a:t>53,620 students receiving £76.3 million of support</a:t>
                    </a:fld>
                    <a:endParaRPr lang="en-US" sz="1800" b="1"/>
                  </a:p>
                </xdr:txBody>
              </xdr:sp>
            </xdr:grpSp>
            <xdr:grpSp>
              <xdr:nvGrpSpPr>
                <xdr:cNvPr id="3" name="Group 2"/>
                <xdr:cNvGrpSpPr/>
              </xdr:nvGrpSpPr>
              <xdr:grpSpPr>
                <a:xfrm>
                  <a:off x="104775" y="2209800"/>
                  <a:ext cx="7815509" cy="4591050"/>
                  <a:chOff x="104775" y="2209800"/>
                  <a:chExt cx="7815509" cy="4591050"/>
                </a:xfrm>
              </xdr:grpSpPr>
              <xdr:sp macro="" textlink="">
                <xdr:nvSpPr>
                  <xdr:cNvPr id="404" name="Rectangle 403"/>
                  <xdr:cNvSpPr/>
                </xdr:nvSpPr>
                <xdr:spPr bwMode="auto">
                  <a:xfrm>
                    <a:off x="6052867" y="4953000"/>
                    <a:ext cx="1252800" cy="1029600"/>
                  </a:xfrm>
                  <a:prstGeom prst="rect">
                    <a:avLst/>
                  </a:prstGeom>
                  <a:solidFill>
                    <a:srgbClr val="008080">
                      <a:alpha val="70000"/>
                    </a:srgb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grpSp>
                <xdr:nvGrpSpPr>
                  <xdr:cNvPr id="8" name="Group 7"/>
                  <xdr:cNvGrpSpPr/>
                </xdr:nvGrpSpPr>
                <xdr:grpSpPr>
                  <a:xfrm>
                    <a:off x="104775" y="2628900"/>
                    <a:ext cx="5947200" cy="2502000"/>
                    <a:chOff x="104775" y="2628900"/>
                    <a:chExt cx="5947200" cy="2502000"/>
                  </a:xfrm>
                </xdr:grpSpPr>
                <xdr:sp macro="" textlink="">
                  <xdr:nvSpPr>
                    <xdr:cNvPr id="399" name="Rectangle 398"/>
                    <xdr:cNvSpPr/>
                  </xdr:nvSpPr>
                  <xdr:spPr bwMode="auto">
                    <a:xfrm>
                      <a:off x="104775" y="2628900"/>
                      <a:ext cx="5947200" cy="2502000"/>
                    </a:xfrm>
                    <a:prstGeom prst="rect">
                      <a:avLst/>
                    </a:prstGeom>
                    <a:solidFill>
                      <a:srgbClr val="00206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A46">
                  <xdr:nvSpPr>
                    <xdr:cNvPr id="407" name="TextBox 406"/>
                    <xdr:cNvSpPr txBox="1"/>
                  </xdr:nvSpPr>
                  <xdr:spPr bwMode="auto">
                    <a:xfrm>
                      <a:off x="198167" y="2714625"/>
                      <a:ext cx="2688708"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9910AB59-FE7C-487F-991C-956C39AF4844}" type="TxLink">
                        <a:rPr lang="en-GB" sz="1200" b="1">
                          <a:solidFill>
                            <a:schemeClr val="bg1"/>
                          </a:solidFill>
                        </a:rPr>
                        <a:pPr/>
                        <a:t>Young Students Bursary</a:t>
                      </a:fld>
                      <a:endParaRPr lang="en-GB" sz="1200" b="1">
                        <a:solidFill>
                          <a:schemeClr val="bg1"/>
                        </a:solidFill>
                      </a:endParaRPr>
                    </a:p>
                  </xdr:txBody>
                </xdr:sp>
                <xdr:sp macro="" textlink="E46">
                  <xdr:nvSpPr>
                    <xdr:cNvPr id="408" name="TextBox 407"/>
                    <xdr:cNvSpPr txBox="1"/>
                  </xdr:nvSpPr>
                  <xdr:spPr bwMode="auto">
                    <a:xfrm>
                      <a:off x="198167" y="2886075"/>
                      <a:ext cx="1788183" cy="276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AEC6202D-481B-4B30-9636-882713856761}" type="TxLink">
                        <a:rPr lang="en-GB" sz="1200" b="0">
                          <a:solidFill>
                            <a:schemeClr val="bg1"/>
                          </a:solidFill>
                        </a:rPr>
                        <a:pPr/>
                        <a:t>£43.8 million (57.4%)</a:t>
                      </a:fld>
                      <a:endParaRPr lang="en-GB" sz="1200" b="0">
                        <a:solidFill>
                          <a:schemeClr val="bg1"/>
                        </a:solidFill>
                      </a:endParaRPr>
                    </a:p>
                  </xdr:txBody>
                </xdr:sp>
              </xdr:grpSp>
              <xdr:grpSp>
                <xdr:nvGrpSpPr>
                  <xdr:cNvPr id="9" name="Group 8"/>
                  <xdr:cNvGrpSpPr/>
                </xdr:nvGrpSpPr>
                <xdr:grpSpPr>
                  <a:xfrm>
                    <a:off x="104775" y="5143499"/>
                    <a:ext cx="5947200" cy="878400"/>
                    <a:chOff x="104775" y="5143499"/>
                    <a:chExt cx="5947200" cy="878400"/>
                  </a:xfrm>
                </xdr:grpSpPr>
                <xdr:sp macro="" textlink="">
                  <xdr:nvSpPr>
                    <xdr:cNvPr id="400" name="Rectangle 399"/>
                    <xdr:cNvSpPr/>
                  </xdr:nvSpPr>
                  <xdr:spPr bwMode="auto">
                    <a:xfrm>
                      <a:off x="104775" y="5143499"/>
                      <a:ext cx="5947200" cy="878400"/>
                    </a:xfrm>
                    <a:prstGeom prst="rect">
                      <a:avLst/>
                    </a:prstGeom>
                    <a:solidFill>
                      <a:srgbClr val="002060">
                        <a:alpha val="70000"/>
                      </a:srgb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A47">
                  <xdr:nvSpPr>
                    <xdr:cNvPr id="409" name="TextBox 408"/>
                    <xdr:cNvSpPr txBox="1"/>
                  </xdr:nvSpPr>
                  <xdr:spPr bwMode="auto">
                    <a:xfrm>
                      <a:off x="211032" y="5172075"/>
                      <a:ext cx="3550637" cy="304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23EC2CB3-DF16-4C1B-AC68-AF4EB6AC9816}" type="TxLink">
                        <a:rPr lang="en-GB" sz="1200" b="1">
                          <a:solidFill>
                            <a:schemeClr val="bg1"/>
                          </a:solidFill>
                        </a:rPr>
                        <a:pPr/>
                        <a:t>Independent Students Bursary</a:t>
                      </a:fld>
                      <a:endParaRPr lang="en-GB" sz="1200" b="1">
                        <a:solidFill>
                          <a:schemeClr val="bg1"/>
                        </a:solidFill>
                      </a:endParaRPr>
                    </a:p>
                  </xdr:txBody>
                </xdr:sp>
                <xdr:sp macro="" textlink="E47">
                  <xdr:nvSpPr>
                    <xdr:cNvPr id="410" name="TextBox 409"/>
                    <xdr:cNvSpPr txBox="1"/>
                  </xdr:nvSpPr>
                  <xdr:spPr bwMode="auto">
                    <a:xfrm>
                      <a:off x="211032" y="5343525"/>
                      <a:ext cx="1788183" cy="276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C118EB97-76A0-41D4-AAAC-3080D446F514}" type="TxLink">
                        <a:rPr lang="en-GB" sz="1200" b="0">
                          <a:solidFill>
                            <a:schemeClr val="bg1"/>
                          </a:solidFill>
                        </a:rPr>
                        <a:pPr/>
                        <a:t>£15.4 million (20.2%)</a:t>
                      </a:fld>
                      <a:endParaRPr lang="en-GB" sz="1200" b="0">
                        <a:solidFill>
                          <a:schemeClr val="bg1"/>
                        </a:solidFill>
                      </a:endParaRPr>
                    </a:p>
                  </xdr:txBody>
                </xdr:sp>
              </xdr:grpSp>
              <xdr:grpSp>
                <xdr:nvGrpSpPr>
                  <xdr:cNvPr id="10" name="Group 9"/>
                  <xdr:cNvGrpSpPr/>
                </xdr:nvGrpSpPr>
                <xdr:grpSpPr>
                  <a:xfrm>
                    <a:off x="5838825" y="2628900"/>
                    <a:ext cx="1542815" cy="2322000"/>
                    <a:chOff x="5838825" y="2628900"/>
                    <a:chExt cx="1542815" cy="2322000"/>
                  </a:xfrm>
                </xdr:grpSpPr>
                <xdr:sp macro="" textlink="">
                  <xdr:nvSpPr>
                    <xdr:cNvPr id="403" name="Rectangle 402"/>
                    <xdr:cNvSpPr/>
                  </xdr:nvSpPr>
                  <xdr:spPr bwMode="auto">
                    <a:xfrm>
                      <a:off x="6052867" y="2628900"/>
                      <a:ext cx="1252800" cy="2322000"/>
                    </a:xfrm>
                    <a:prstGeom prst="rect">
                      <a:avLst/>
                    </a:prstGeom>
                    <a:solidFill>
                      <a:srgbClr val="00808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A53">
                  <xdr:nvSpPr>
                    <xdr:cNvPr id="427" name="TextBox 426"/>
                    <xdr:cNvSpPr txBox="1"/>
                  </xdr:nvSpPr>
                  <xdr:spPr bwMode="auto">
                    <a:xfrm>
                      <a:off x="5838825" y="2638425"/>
                      <a:ext cx="1542815" cy="685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fld id="{CB92E690-8C52-4328-A973-4DA0A943A581}" type="TxLink">
                        <a:rPr lang="en-GB" sz="1200" b="1">
                          <a:solidFill>
                            <a:schemeClr val="bg1"/>
                          </a:solidFill>
                        </a:rPr>
                        <a:pPr algn="r"/>
                        <a:t>Disabled Students Allowance*</a:t>
                      </a:fld>
                      <a:endParaRPr lang="en-GB" sz="1200" b="1">
                        <a:solidFill>
                          <a:schemeClr val="bg1"/>
                        </a:solidFill>
                      </a:endParaRPr>
                    </a:p>
                  </xdr:txBody>
                </xdr:sp>
                <xdr:sp macro="" textlink="E53">
                  <xdr:nvSpPr>
                    <xdr:cNvPr id="428" name="TextBox 427"/>
                    <xdr:cNvSpPr txBox="1"/>
                  </xdr:nvSpPr>
                  <xdr:spPr bwMode="auto">
                    <a:xfrm>
                      <a:off x="6057900" y="3038475"/>
                      <a:ext cx="1301843" cy="533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fld id="{6333E196-2B02-45B1-967A-11A9F7D80668}" type="TxLink">
                        <a:rPr lang="en-GB" sz="1200" b="0">
                          <a:solidFill>
                            <a:schemeClr val="bg1"/>
                          </a:solidFill>
                        </a:rPr>
                        <a:pPr algn="r"/>
                        <a:t>£8.6 million (11.2%)</a:t>
                      </a:fld>
                      <a:endParaRPr lang="en-GB" sz="1200" b="0">
                        <a:solidFill>
                          <a:schemeClr val="bg1"/>
                        </a:solidFill>
                      </a:endParaRPr>
                    </a:p>
                  </xdr:txBody>
                </xdr:sp>
              </xdr:grpSp>
              <xdr:grpSp>
                <xdr:nvGrpSpPr>
                  <xdr:cNvPr id="12" name="Group 11"/>
                  <xdr:cNvGrpSpPr/>
                </xdr:nvGrpSpPr>
                <xdr:grpSpPr>
                  <a:xfrm>
                    <a:off x="6000750" y="5010150"/>
                    <a:ext cx="1374704" cy="876299"/>
                    <a:chOff x="6000750" y="5010150"/>
                    <a:chExt cx="1374704" cy="876299"/>
                  </a:xfrm>
                </xdr:grpSpPr>
                <xdr:sp macro="" textlink="A52">
                  <xdr:nvSpPr>
                    <xdr:cNvPr id="429" name="TextBox 428"/>
                    <xdr:cNvSpPr txBox="1"/>
                  </xdr:nvSpPr>
                  <xdr:spPr bwMode="auto">
                    <a:xfrm>
                      <a:off x="6000750" y="5010150"/>
                      <a:ext cx="1339452" cy="685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fld id="{E2B18C45-7DE2-4A4D-AB27-81983344365A}" type="TxLink">
                        <a:rPr lang="en-GB" sz="1200" b="1">
                          <a:solidFill>
                            <a:schemeClr val="bg1"/>
                          </a:solidFill>
                        </a:rPr>
                        <a:pPr algn="r"/>
                        <a:t>Lone Parents Grant</a:t>
                      </a:fld>
                      <a:endParaRPr lang="en-GB" sz="1200" b="1">
                        <a:solidFill>
                          <a:schemeClr val="bg1"/>
                        </a:solidFill>
                      </a:endParaRPr>
                    </a:p>
                  </xdr:txBody>
                </xdr:sp>
                <xdr:sp macro="" textlink="E52">
                  <xdr:nvSpPr>
                    <xdr:cNvPr id="430" name="TextBox 429"/>
                    <xdr:cNvSpPr txBox="1"/>
                  </xdr:nvSpPr>
                  <xdr:spPr bwMode="auto">
                    <a:xfrm>
                      <a:off x="6115050" y="5381624"/>
                      <a:ext cx="1260404"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fld id="{5D50A64D-B913-4BC4-9809-43C2FBEF9EA7}" type="TxLink">
                        <a:rPr lang="en-GB" sz="1200" b="0">
                          <a:solidFill>
                            <a:schemeClr val="bg1"/>
                          </a:solidFill>
                        </a:rPr>
                        <a:pPr algn="r"/>
                        <a:t>£3.8 million (5.0%)</a:t>
                      </a:fld>
                      <a:endParaRPr lang="en-GB" sz="1200" b="0">
                        <a:solidFill>
                          <a:schemeClr val="bg1"/>
                        </a:solidFill>
                      </a:endParaRPr>
                    </a:p>
                  </xdr:txBody>
                </xdr:sp>
              </xdr:grpSp>
              <xdr:grpSp>
                <xdr:nvGrpSpPr>
                  <xdr:cNvPr id="13" name="Group 12"/>
                  <xdr:cNvGrpSpPr/>
                </xdr:nvGrpSpPr>
                <xdr:grpSpPr>
                  <a:xfrm>
                    <a:off x="6052867" y="5981700"/>
                    <a:ext cx="1867417" cy="809625"/>
                    <a:chOff x="6052867" y="5981700"/>
                    <a:chExt cx="1867417" cy="809625"/>
                  </a:xfrm>
                </xdr:grpSpPr>
                <xdr:sp macro="" textlink="">
                  <xdr:nvSpPr>
                    <xdr:cNvPr id="405" name="Rectangle 404"/>
                    <xdr:cNvSpPr/>
                  </xdr:nvSpPr>
                  <xdr:spPr bwMode="auto">
                    <a:xfrm>
                      <a:off x="6052867" y="5981700"/>
                      <a:ext cx="1252800" cy="151200"/>
                    </a:xfrm>
                    <a:prstGeom prst="rect">
                      <a:avLst/>
                    </a:prstGeom>
                    <a:solidFill>
                      <a:srgbClr val="008080">
                        <a:alpha val="40000"/>
                      </a:srgb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A51">
                  <xdr:nvSpPr>
                    <xdr:cNvPr id="431" name="TextBox 430"/>
                    <xdr:cNvSpPr txBox="1"/>
                  </xdr:nvSpPr>
                  <xdr:spPr bwMode="auto">
                    <a:xfrm>
                      <a:off x="6543769" y="6267450"/>
                      <a:ext cx="1376515" cy="523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fld id="{7D5D1D25-7BB1-4CB5-A666-7F2065F50F53}" type="TxLink">
                        <a:rPr lang="en-GB" sz="1200" b="1">
                          <a:solidFill>
                            <a:sysClr val="windowText" lastClr="000000"/>
                          </a:solidFill>
                        </a:rPr>
                        <a:pPr algn="r"/>
                        <a:t>Dependants Grant</a:t>
                      </a:fld>
                      <a:endParaRPr lang="en-GB" sz="1200" b="1">
                        <a:solidFill>
                          <a:sysClr val="windowText" lastClr="000000"/>
                        </a:solidFill>
                      </a:endParaRPr>
                    </a:p>
                  </xdr:txBody>
                </xdr:sp>
                <xdr:sp macro="" textlink="$E$51">
                  <xdr:nvSpPr>
                    <xdr:cNvPr id="432" name="TextBox 431"/>
                    <xdr:cNvSpPr txBox="1"/>
                  </xdr:nvSpPr>
                  <xdr:spPr bwMode="auto">
                    <a:xfrm>
                      <a:off x="6277445" y="6457950"/>
                      <a:ext cx="1620944" cy="276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r"/>
                      <a:fld id="{D685ECD5-6D05-4D7A-9568-FA9C371CCD84}" type="TxLink">
                        <a:rPr lang="en-GB" sz="1200" b="0">
                          <a:solidFill>
                            <a:sysClr val="windowText" lastClr="000000"/>
                          </a:solidFill>
                        </a:rPr>
                        <a:pPr algn="r"/>
                        <a:t>£0.6 million (0.7%)</a:t>
                      </a:fld>
                      <a:endParaRPr lang="en-GB" sz="1200" b="0">
                        <a:solidFill>
                          <a:sysClr val="windowText" lastClr="000000"/>
                        </a:solidFill>
                      </a:endParaRPr>
                    </a:p>
                  </xdr:txBody>
                </xdr:sp>
                <xdr:sp macro="" textlink="">
                  <xdr:nvSpPr>
                    <xdr:cNvPr id="433" name="Rectangle 432"/>
                    <xdr:cNvSpPr/>
                  </xdr:nvSpPr>
                  <xdr:spPr bwMode="auto">
                    <a:xfrm>
                      <a:off x="6443415" y="6353175"/>
                      <a:ext cx="154376" cy="104775"/>
                    </a:xfrm>
                    <a:prstGeom prst="rect">
                      <a:avLst/>
                    </a:prstGeom>
                    <a:solidFill>
                      <a:srgbClr val="008080">
                        <a:alpha val="40000"/>
                      </a:srgb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grpSp>
              <xdr:grpSp>
                <xdr:nvGrpSpPr>
                  <xdr:cNvPr id="14" name="Group 13"/>
                  <xdr:cNvGrpSpPr/>
                </xdr:nvGrpSpPr>
                <xdr:grpSpPr>
                  <a:xfrm>
                    <a:off x="4512310" y="6134099"/>
                    <a:ext cx="2793357" cy="666751"/>
                    <a:chOff x="4512310" y="6134099"/>
                    <a:chExt cx="2793357" cy="666751"/>
                  </a:xfrm>
                </xdr:grpSpPr>
                <xdr:sp macro="" textlink="A56">
                  <xdr:nvSpPr>
                    <xdr:cNvPr id="437" name="TextBox 436"/>
                    <xdr:cNvSpPr txBox="1"/>
                  </xdr:nvSpPr>
                  <xdr:spPr bwMode="auto">
                    <a:xfrm>
                      <a:off x="4818216" y="6276975"/>
                      <a:ext cx="1376515" cy="523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fld id="{C66F6F24-96F5-48A9-964C-61EC3F3661E0}" type="TxLink">
                        <a:rPr lang="en-GB" sz="1200" b="1">
                          <a:solidFill>
                            <a:sysClr val="windowText" lastClr="000000"/>
                          </a:solidFill>
                        </a:rPr>
                        <a:pPr algn="r"/>
                        <a:t>Adhoc Payments </a:t>
                      </a:fld>
                      <a:endParaRPr lang="en-GB" sz="1200" b="1">
                        <a:solidFill>
                          <a:sysClr val="windowText" lastClr="000000"/>
                        </a:solidFill>
                      </a:endParaRPr>
                    </a:p>
                  </xdr:txBody>
                </xdr:sp>
                <xdr:sp macro="" textlink="">
                  <xdr:nvSpPr>
                    <xdr:cNvPr id="406" name="Rectangle 405"/>
                    <xdr:cNvSpPr/>
                  </xdr:nvSpPr>
                  <xdr:spPr bwMode="auto">
                    <a:xfrm>
                      <a:off x="6052867" y="6134099"/>
                      <a:ext cx="1252800" cy="100800"/>
                    </a:xfrm>
                    <a:prstGeom prst="rect">
                      <a:avLst/>
                    </a:prstGeom>
                    <a:solidFill>
                      <a:schemeClr val="bg1">
                        <a:lumMod val="75000"/>
                        <a:alpha val="7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GB"/>
                        <a:t>`</a:t>
                      </a:r>
                    </a:p>
                  </xdr:txBody>
                </xdr:sp>
                <xdr:sp macro="" textlink="E56">
                  <xdr:nvSpPr>
                    <xdr:cNvPr id="438" name="TextBox 437"/>
                    <xdr:cNvSpPr txBox="1"/>
                  </xdr:nvSpPr>
                  <xdr:spPr bwMode="auto">
                    <a:xfrm>
                      <a:off x="4512310" y="6467475"/>
                      <a:ext cx="1736724" cy="276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r"/>
                      <a:fld id="{E99C66FB-4A8B-44D7-9F3C-F93748EE0714}" type="TxLink">
                        <a:rPr lang="en-GB" sz="1200" b="0">
                          <a:solidFill>
                            <a:sysClr val="windowText" lastClr="000000"/>
                          </a:solidFill>
                        </a:rPr>
                        <a:pPr algn="r"/>
                        <a:t>£0.4 million (0.5%)</a:t>
                      </a:fld>
                      <a:endParaRPr lang="en-GB" sz="1200" b="0">
                        <a:solidFill>
                          <a:sysClr val="windowText" lastClr="000000"/>
                        </a:solidFill>
                      </a:endParaRPr>
                    </a:p>
                  </xdr:txBody>
                </xdr:sp>
              </xdr:grpSp>
              <xdr:sp macro="" textlink="A45">
                <xdr:nvSpPr>
                  <xdr:cNvPr id="71" name="TextBox 70"/>
                  <xdr:cNvSpPr txBox="1"/>
                </xdr:nvSpPr>
                <xdr:spPr bwMode="auto">
                  <a:xfrm>
                    <a:off x="2717870" y="2209800"/>
                    <a:ext cx="861930" cy="276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fld id="{582D6304-2D4E-4C5F-A9A4-2D985E1A2608}" type="TxLink">
                      <a:rPr lang="en-GB" sz="1050" b="1">
                        <a:solidFill>
                          <a:sysClr val="windowText" lastClr="000000"/>
                        </a:solidFill>
                      </a:rPr>
                      <a:pPr algn="ctr"/>
                      <a:t>Bursary</a:t>
                    </a:fld>
                    <a:endParaRPr lang="en-GB" sz="1050" b="1">
                      <a:solidFill>
                        <a:sysClr val="windowText" lastClr="000000"/>
                      </a:solidFill>
                    </a:endParaRPr>
                  </a:p>
                </xdr:txBody>
              </xdr:sp>
              <xdr:sp macro="" textlink="">
                <xdr:nvSpPr>
                  <xdr:cNvPr id="4" name="Right Brace 3"/>
                  <xdr:cNvSpPr/>
                </xdr:nvSpPr>
                <xdr:spPr bwMode="auto">
                  <a:xfrm rot="16200000">
                    <a:off x="3050164" y="-416937"/>
                    <a:ext cx="133351" cy="5863071"/>
                  </a:xfrm>
                  <a:prstGeom prst="rightBrace">
                    <a:avLst/>
                  </a:prstGeom>
                  <a:ln w="9525">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GB"/>
                  </a:p>
                </xdr:txBody>
              </xdr:sp>
              <xdr:sp macro="" textlink="">
                <xdr:nvSpPr>
                  <xdr:cNvPr id="73" name="Right Brace 72"/>
                  <xdr:cNvSpPr/>
                </xdr:nvSpPr>
                <xdr:spPr bwMode="auto">
                  <a:xfrm>
                    <a:off x="7410449" y="2628900"/>
                    <a:ext cx="115395" cy="3505200"/>
                  </a:xfrm>
                  <a:prstGeom prst="rightBrace">
                    <a:avLst/>
                  </a:prstGeom>
                  <a:ln w="9525">
                    <a:solidFill>
                      <a:srgbClr val="00808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GB"/>
                  </a:p>
                </xdr:txBody>
              </xdr:sp>
              <xdr:sp macro="" textlink="A50">
                <xdr:nvSpPr>
                  <xdr:cNvPr id="75" name="TextBox 74"/>
                  <xdr:cNvSpPr txBox="1"/>
                </xdr:nvSpPr>
                <xdr:spPr bwMode="auto">
                  <a:xfrm rot="5400000">
                    <a:off x="6890538" y="4290212"/>
                    <a:ext cx="1466850" cy="3730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fld id="{39380700-173E-4F08-B977-492D9AE690CD}" type="TxLink">
                      <a:rPr lang="en-GB" sz="1050" b="1">
                        <a:solidFill>
                          <a:sysClr val="windowText" lastClr="000000"/>
                        </a:solidFill>
                      </a:rPr>
                      <a:pPr/>
                      <a:t>Living Cost Grants</a:t>
                    </a:fld>
                    <a:endParaRPr lang="en-GB" sz="1050" b="1">
                      <a:solidFill>
                        <a:sysClr val="windowText" lastClr="000000"/>
                      </a:solidFill>
                    </a:endParaRPr>
                  </a:p>
                </xdr:txBody>
              </xdr:sp>
            </xdr:grpSp>
            <xdr:sp macro="" textlink="">
              <xdr:nvSpPr>
                <xdr:cNvPr id="2" name="Up Arrow 1"/>
                <xdr:cNvSpPr/>
              </xdr:nvSpPr>
              <xdr:spPr bwMode="auto">
                <a:xfrm>
                  <a:off x="7233567" y="914400"/>
                  <a:ext cx="128646" cy="190500"/>
                </a:xfrm>
                <a:prstGeom prst="downArrow">
                  <a:avLst/>
                </a:prstGeom>
                <a:solidFill>
                  <a:srgbClr val="008080"/>
                </a:solidFill>
                <a:ln>
                  <a:solidFill>
                    <a:srgbClr val="008080"/>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grpSp>
        </xdr:grpSp>
        <xdr:sp macro="" textlink="">
          <xdr:nvSpPr>
            <xdr:cNvPr id="68" name="Rectangle 67"/>
            <xdr:cNvSpPr/>
          </xdr:nvSpPr>
          <xdr:spPr bwMode="auto">
            <a:xfrm>
              <a:off x="6219825" y="6353175"/>
              <a:ext cx="154376" cy="104775"/>
            </a:xfrm>
            <a:prstGeom prst="rect">
              <a:avLst/>
            </a:prstGeom>
            <a:solidFill>
              <a:schemeClr val="bg1">
                <a:lumMod val="75000"/>
                <a:alpha val="4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grpSp>
      <xdr:sp macro="" textlink="">
        <xdr:nvSpPr>
          <xdr:cNvPr id="64" name="Rectangle 63"/>
          <xdr:cNvSpPr/>
        </xdr:nvSpPr>
        <xdr:spPr bwMode="auto">
          <a:xfrm>
            <a:off x="133350" y="6019800"/>
            <a:ext cx="5947200" cy="219600"/>
          </a:xfrm>
          <a:prstGeom prst="rect">
            <a:avLst/>
          </a:prstGeom>
          <a:solidFill>
            <a:schemeClr val="tx2">
              <a:lumMod val="40000"/>
              <a:lumOff val="60000"/>
              <a:alpha val="70000"/>
            </a:schemeClr>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A48">
        <xdr:nvSpPr>
          <xdr:cNvPr id="65" name="TextBox 64"/>
          <xdr:cNvSpPr txBox="1"/>
        </xdr:nvSpPr>
        <xdr:spPr bwMode="auto">
          <a:xfrm>
            <a:off x="247650" y="5991225"/>
            <a:ext cx="3550637" cy="304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indent="0"/>
            <a:fld id="{2AEB542E-01E6-42DB-BAA7-4070E66DA3DF}" type="TxLink">
              <a:rPr lang="en-US" sz="1200" b="1">
                <a:solidFill>
                  <a:schemeClr val="bg1"/>
                </a:solidFill>
                <a:latin typeface="+mn-lt"/>
                <a:ea typeface="+mn-ea"/>
                <a:cs typeface="+mn-cs"/>
              </a:rPr>
              <a:pPr marL="0" indent="0"/>
              <a:t>Care Experienced Bursary</a:t>
            </a:fld>
            <a:endParaRPr lang="en-GB" sz="1200" b="1">
              <a:solidFill>
                <a:schemeClr val="bg1"/>
              </a:solidFill>
              <a:latin typeface="+mn-lt"/>
              <a:ea typeface="+mn-ea"/>
              <a:cs typeface="+mn-cs"/>
            </a:endParaRPr>
          </a:p>
        </xdr:txBody>
      </xdr:sp>
      <xdr:sp macro="" textlink="E48">
        <xdr:nvSpPr>
          <xdr:cNvPr id="69" name="TextBox 68"/>
          <xdr:cNvSpPr txBox="1"/>
        </xdr:nvSpPr>
        <xdr:spPr bwMode="auto">
          <a:xfrm>
            <a:off x="2038350" y="5991225"/>
            <a:ext cx="1788183" cy="276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indent="0"/>
            <a:fld id="{1AB3356A-E765-4CCC-BC18-60931A42B2E6}" type="TxLink">
              <a:rPr lang="en-US" sz="1200" b="0">
                <a:solidFill>
                  <a:schemeClr val="bg1"/>
                </a:solidFill>
                <a:latin typeface="+mn-lt"/>
                <a:ea typeface="+mn-ea"/>
                <a:cs typeface="+mn-cs"/>
              </a:rPr>
              <a:pPr marL="0" indent="0"/>
              <a:t>£3.8 million (5.0%)</a:t>
            </a:fld>
            <a:endParaRPr lang="en-GB" sz="1200" b="0">
              <a:solidFill>
                <a:schemeClr val="bg1"/>
              </a:solidFill>
              <a:latin typeface="+mn-lt"/>
              <a:ea typeface="+mn-ea"/>
              <a:cs typeface="+mn-cs"/>
            </a:endParaRPr>
          </a:p>
        </xdr:txBody>
      </xdr:sp>
      <xdr:sp macro="" textlink="">
        <xdr:nvSpPr>
          <xdr:cNvPr id="70" name="Up Arrow 1"/>
          <xdr:cNvSpPr/>
        </xdr:nvSpPr>
        <xdr:spPr bwMode="auto">
          <a:xfrm>
            <a:off x="3714750" y="1933575"/>
            <a:ext cx="128646" cy="190500"/>
          </a:xfrm>
          <a:prstGeom prst="downArrow">
            <a:avLst/>
          </a:prstGeom>
          <a:solidFill>
            <a:srgbClr val="008080"/>
          </a:solidFill>
          <a:ln>
            <a:solidFill>
              <a:srgbClr val="008080"/>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72" name="Up Arrow 1"/>
          <xdr:cNvSpPr/>
        </xdr:nvSpPr>
        <xdr:spPr bwMode="auto">
          <a:xfrm>
            <a:off x="6410325" y="1914525"/>
            <a:ext cx="128646" cy="190500"/>
          </a:xfrm>
          <a:prstGeom prst="downArrow">
            <a:avLst/>
          </a:prstGeom>
          <a:solidFill>
            <a:srgbClr val="008080"/>
          </a:solidFill>
          <a:ln>
            <a:solidFill>
              <a:srgbClr val="008080"/>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3</xdr:row>
      <xdr:rowOff>95250</xdr:rowOff>
    </xdr:from>
    <xdr:to>
      <xdr:col>10</xdr:col>
      <xdr:colOff>676275</xdr:colOff>
      <xdr:row>22</xdr:row>
      <xdr:rowOff>57150</xdr:rowOff>
    </xdr:to>
    <xdr:grpSp>
      <xdr:nvGrpSpPr>
        <xdr:cNvPr id="5" name="Group 4"/>
        <xdr:cNvGrpSpPr/>
      </xdr:nvGrpSpPr>
      <xdr:grpSpPr>
        <a:xfrm>
          <a:off x="0" y="828675"/>
          <a:ext cx="8534400" cy="3762375"/>
          <a:chOff x="0" y="828675"/>
          <a:chExt cx="8534400" cy="3762375"/>
        </a:xfrm>
      </xdr:grpSpPr>
      <xdr:grpSp>
        <xdr:nvGrpSpPr>
          <xdr:cNvPr id="1753521" name="Group 124"/>
          <xdr:cNvGrpSpPr>
            <a:grpSpLocks/>
          </xdr:cNvGrpSpPr>
        </xdr:nvGrpSpPr>
        <xdr:grpSpPr bwMode="auto">
          <a:xfrm>
            <a:off x="0" y="828675"/>
            <a:ext cx="8534400" cy="3762375"/>
            <a:chOff x="0" y="828676"/>
            <a:chExt cx="8534400" cy="3762374"/>
          </a:xfrm>
        </xdr:grpSpPr>
        <xdr:grpSp>
          <xdr:nvGrpSpPr>
            <xdr:cNvPr id="1753522" name="Group 112"/>
            <xdr:cNvGrpSpPr>
              <a:grpSpLocks/>
            </xdr:cNvGrpSpPr>
          </xdr:nvGrpSpPr>
          <xdr:grpSpPr bwMode="auto">
            <a:xfrm>
              <a:off x="3048000" y="828676"/>
              <a:ext cx="2943225" cy="3067049"/>
              <a:chOff x="3343276" y="1000126"/>
              <a:chExt cx="2943225" cy="3067049"/>
            </a:xfrm>
          </xdr:grpSpPr>
          <xdr:sp macro="" textlink="">
            <xdr:nvSpPr>
              <xdr:cNvPr id="70" name="Rounded Rectangle 69"/>
              <xdr:cNvSpPr/>
            </xdr:nvSpPr>
            <xdr:spPr>
              <a:xfrm>
                <a:off x="3343276" y="1000126"/>
                <a:ext cx="2943225" cy="3067049"/>
              </a:xfrm>
              <a:prstGeom prst="roundRect">
                <a:avLst/>
              </a:prstGeom>
              <a:solidFill>
                <a:schemeClr val="accent1">
                  <a:alpha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grpSp>
            <xdr:nvGrpSpPr>
              <xdr:cNvPr id="1753544" name="Group 72"/>
              <xdr:cNvGrpSpPr>
                <a:grpSpLocks/>
              </xdr:cNvGrpSpPr>
            </xdr:nvGrpSpPr>
            <xdr:grpSpPr bwMode="auto">
              <a:xfrm>
                <a:off x="4067176" y="1724026"/>
                <a:ext cx="1495425" cy="1842415"/>
                <a:chOff x="6810376" y="4095751"/>
                <a:chExt cx="1495425" cy="1842415"/>
              </a:xfrm>
            </xdr:grpSpPr>
            <xdr:grpSp>
              <xdr:nvGrpSpPr>
                <xdr:cNvPr id="37" name="Group 59"/>
                <xdr:cNvGrpSpPr/>
              </xdr:nvGrpSpPr>
              <xdr:grpSpPr>
                <a:xfrm>
                  <a:off x="6810376" y="4095751"/>
                  <a:ext cx="1495425" cy="1257299"/>
                  <a:chOff x="5003872" y="10569502"/>
                  <a:chExt cx="2524666" cy="2308204"/>
                </a:xfrm>
                <a:solidFill>
                  <a:srgbClr val="10145E"/>
                </a:solidFill>
              </xdr:grpSpPr>
              <xdr:sp macro="" textlink="">
                <xdr:nvSpPr>
                  <xdr:cNvPr id="61" name="Freeform 60"/>
                  <xdr:cNvSpPr/>
                </xdr:nvSpPr>
                <xdr:spPr>
                  <a:xfrm>
                    <a:off x="5212921" y="11146553"/>
                    <a:ext cx="2122649" cy="139891"/>
                  </a:xfrm>
                  <a:custGeom>
                    <a:avLst/>
                    <a:gdLst>
                      <a:gd name="connsiteX0" fmla="*/ 11907 w 2095500"/>
                      <a:gd name="connsiteY0" fmla="*/ 0 h 142875"/>
                      <a:gd name="connsiteX1" fmla="*/ 2095500 w 2095500"/>
                      <a:gd name="connsiteY1" fmla="*/ 0 h 142875"/>
                      <a:gd name="connsiteX2" fmla="*/ 2095500 w 2095500"/>
                      <a:gd name="connsiteY2" fmla="*/ 142875 h 142875"/>
                      <a:gd name="connsiteX3" fmla="*/ 0 w 2095500"/>
                      <a:gd name="connsiteY3" fmla="*/ 142875 h 142875"/>
                      <a:gd name="connsiteX4" fmla="*/ 11907 w 2095500"/>
                      <a:gd name="connsiteY4" fmla="*/ 0 h 142875"/>
                      <a:gd name="connsiteX0" fmla="*/ 0 w 2099035"/>
                      <a:gd name="connsiteY0" fmla="*/ 2603 h 142875"/>
                      <a:gd name="connsiteX1" fmla="*/ 2099035 w 2099035"/>
                      <a:gd name="connsiteY1" fmla="*/ 0 h 142875"/>
                      <a:gd name="connsiteX2" fmla="*/ 2099035 w 2099035"/>
                      <a:gd name="connsiteY2" fmla="*/ 142875 h 142875"/>
                      <a:gd name="connsiteX3" fmla="*/ 3535 w 2099035"/>
                      <a:gd name="connsiteY3" fmla="*/ 142875 h 142875"/>
                      <a:gd name="connsiteX4" fmla="*/ 0 w 2099035"/>
                      <a:gd name="connsiteY4" fmla="*/ 2603 h 14287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099035" h="142875">
                        <a:moveTo>
                          <a:pt x="0" y="2603"/>
                        </a:moveTo>
                        <a:lnTo>
                          <a:pt x="2099035" y="0"/>
                        </a:lnTo>
                        <a:lnTo>
                          <a:pt x="2099035" y="142875"/>
                        </a:lnTo>
                        <a:lnTo>
                          <a:pt x="3535" y="142875"/>
                        </a:lnTo>
                        <a:cubicBezTo>
                          <a:pt x="2357" y="96118"/>
                          <a:pt x="1178" y="49360"/>
                          <a:pt x="0" y="2603"/>
                        </a:cubicBezTo>
                        <a:close/>
                      </a:path>
                    </a:pathLst>
                  </a:cu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62" name="Freeform 61"/>
                  <xdr:cNvSpPr/>
                </xdr:nvSpPr>
                <xdr:spPr>
                  <a:xfrm>
                    <a:off x="5003872" y="10569502"/>
                    <a:ext cx="2524666" cy="507105"/>
                  </a:xfrm>
                  <a:custGeom>
                    <a:avLst/>
                    <a:gdLst>
                      <a:gd name="connsiteX0" fmla="*/ 0 w 2500312"/>
                      <a:gd name="connsiteY0" fmla="*/ 422672 h 488157"/>
                      <a:gd name="connsiteX1" fmla="*/ 0 w 2500312"/>
                      <a:gd name="connsiteY1" fmla="*/ 488157 h 488157"/>
                      <a:gd name="connsiteX2" fmla="*/ 2500312 w 2500312"/>
                      <a:gd name="connsiteY2" fmla="*/ 488157 h 488157"/>
                      <a:gd name="connsiteX3" fmla="*/ 2500312 w 2500312"/>
                      <a:gd name="connsiteY3" fmla="*/ 422672 h 488157"/>
                      <a:gd name="connsiteX4" fmla="*/ 1232297 w 2500312"/>
                      <a:gd name="connsiteY4" fmla="*/ 0 h 488157"/>
                      <a:gd name="connsiteX5" fmla="*/ 0 w 2500312"/>
                      <a:gd name="connsiteY5" fmla="*/ 422672 h 48815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2500312" h="488157">
                        <a:moveTo>
                          <a:pt x="0" y="422672"/>
                        </a:moveTo>
                        <a:lnTo>
                          <a:pt x="0" y="488157"/>
                        </a:lnTo>
                        <a:lnTo>
                          <a:pt x="2500312" y="488157"/>
                        </a:lnTo>
                        <a:lnTo>
                          <a:pt x="2500312" y="422672"/>
                        </a:lnTo>
                        <a:lnTo>
                          <a:pt x="1232297" y="0"/>
                        </a:lnTo>
                        <a:lnTo>
                          <a:pt x="0" y="422672"/>
                        </a:lnTo>
                        <a:close/>
                      </a:path>
                    </a:pathLst>
                  </a:cu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63" name="Freeform 62"/>
                  <xdr:cNvSpPr/>
                </xdr:nvSpPr>
                <xdr:spPr>
                  <a:xfrm>
                    <a:off x="5341566" y="11356390"/>
                    <a:ext cx="289452" cy="1136616"/>
                  </a:xfrm>
                  <a:custGeom>
                    <a:avLst/>
                    <a:gdLst>
                      <a:gd name="connsiteX0" fmla="*/ 279797 w 285750"/>
                      <a:gd name="connsiteY0" fmla="*/ 0 h 1107281"/>
                      <a:gd name="connsiteX1" fmla="*/ 0 w 285750"/>
                      <a:gd name="connsiteY1" fmla="*/ 0 h 1107281"/>
                      <a:gd name="connsiteX2" fmla="*/ 0 w 285750"/>
                      <a:gd name="connsiteY2" fmla="*/ 1107281 h 1107281"/>
                      <a:gd name="connsiteX3" fmla="*/ 285750 w 285750"/>
                      <a:gd name="connsiteY3" fmla="*/ 1107281 h 1107281"/>
                      <a:gd name="connsiteX4" fmla="*/ 279797 w 285750"/>
                      <a:gd name="connsiteY4" fmla="*/ 0 h 1107281"/>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85750" h="1107281">
                        <a:moveTo>
                          <a:pt x="279797" y="0"/>
                        </a:moveTo>
                        <a:lnTo>
                          <a:pt x="0" y="0"/>
                        </a:lnTo>
                        <a:lnTo>
                          <a:pt x="0" y="1107281"/>
                        </a:lnTo>
                        <a:lnTo>
                          <a:pt x="285750" y="1107281"/>
                        </a:lnTo>
                        <a:cubicBezTo>
                          <a:pt x="283766" y="738187"/>
                          <a:pt x="281781" y="369094"/>
                          <a:pt x="279797" y="0"/>
                        </a:cubicBezTo>
                        <a:close/>
                      </a:path>
                    </a:pathLst>
                  </a:cu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64" name="Freeform 63"/>
                  <xdr:cNvSpPr/>
                </xdr:nvSpPr>
                <xdr:spPr>
                  <a:xfrm>
                    <a:off x="5872228" y="11356390"/>
                    <a:ext cx="289452" cy="1136616"/>
                  </a:xfrm>
                  <a:custGeom>
                    <a:avLst/>
                    <a:gdLst>
                      <a:gd name="connsiteX0" fmla="*/ 279797 w 285750"/>
                      <a:gd name="connsiteY0" fmla="*/ 0 h 1107281"/>
                      <a:gd name="connsiteX1" fmla="*/ 0 w 285750"/>
                      <a:gd name="connsiteY1" fmla="*/ 0 h 1107281"/>
                      <a:gd name="connsiteX2" fmla="*/ 0 w 285750"/>
                      <a:gd name="connsiteY2" fmla="*/ 1107281 h 1107281"/>
                      <a:gd name="connsiteX3" fmla="*/ 285750 w 285750"/>
                      <a:gd name="connsiteY3" fmla="*/ 1107281 h 1107281"/>
                      <a:gd name="connsiteX4" fmla="*/ 279797 w 285750"/>
                      <a:gd name="connsiteY4" fmla="*/ 0 h 1107281"/>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85750" h="1107281">
                        <a:moveTo>
                          <a:pt x="279797" y="0"/>
                        </a:moveTo>
                        <a:lnTo>
                          <a:pt x="0" y="0"/>
                        </a:lnTo>
                        <a:lnTo>
                          <a:pt x="0" y="1107281"/>
                        </a:lnTo>
                        <a:lnTo>
                          <a:pt x="285750" y="1107281"/>
                        </a:lnTo>
                        <a:cubicBezTo>
                          <a:pt x="283766" y="738187"/>
                          <a:pt x="281781" y="369094"/>
                          <a:pt x="279797" y="0"/>
                        </a:cubicBezTo>
                        <a:close/>
                      </a:path>
                    </a:pathLst>
                  </a:cu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65" name="Freeform 64"/>
                  <xdr:cNvSpPr/>
                </xdr:nvSpPr>
                <xdr:spPr>
                  <a:xfrm>
                    <a:off x="6386810" y="11356390"/>
                    <a:ext cx="289452" cy="1136616"/>
                  </a:xfrm>
                  <a:custGeom>
                    <a:avLst/>
                    <a:gdLst>
                      <a:gd name="connsiteX0" fmla="*/ 279797 w 285750"/>
                      <a:gd name="connsiteY0" fmla="*/ 0 h 1107281"/>
                      <a:gd name="connsiteX1" fmla="*/ 0 w 285750"/>
                      <a:gd name="connsiteY1" fmla="*/ 0 h 1107281"/>
                      <a:gd name="connsiteX2" fmla="*/ 0 w 285750"/>
                      <a:gd name="connsiteY2" fmla="*/ 1107281 h 1107281"/>
                      <a:gd name="connsiteX3" fmla="*/ 285750 w 285750"/>
                      <a:gd name="connsiteY3" fmla="*/ 1107281 h 1107281"/>
                      <a:gd name="connsiteX4" fmla="*/ 279797 w 285750"/>
                      <a:gd name="connsiteY4" fmla="*/ 0 h 1107281"/>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85750" h="1107281">
                        <a:moveTo>
                          <a:pt x="279797" y="0"/>
                        </a:moveTo>
                        <a:lnTo>
                          <a:pt x="0" y="0"/>
                        </a:lnTo>
                        <a:lnTo>
                          <a:pt x="0" y="1107281"/>
                        </a:lnTo>
                        <a:lnTo>
                          <a:pt x="285750" y="1107281"/>
                        </a:lnTo>
                        <a:cubicBezTo>
                          <a:pt x="283766" y="738187"/>
                          <a:pt x="281781" y="369094"/>
                          <a:pt x="279797" y="0"/>
                        </a:cubicBezTo>
                        <a:close/>
                      </a:path>
                    </a:pathLst>
                  </a:cu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66" name="Freeform 65"/>
                  <xdr:cNvSpPr/>
                </xdr:nvSpPr>
                <xdr:spPr>
                  <a:xfrm>
                    <a:off x="6933553" y="11356390"/>
                    <a:ext cx="289452" cy="1136616"/>
                  </a:xfrm>
                  <a:custGeom>
                    <a:avLst/>
                    <a:gdLst>
                      <a:gd name="connsiteX0" fmla="*/ 279797 w 285750"/>
                      <a:gd name="connsiteY0" fmla="*/ 0 h 1107281"/>
                      <a:gd name="connsiteX1" fmla="*/ 0 w 285750"/>
                      <a:gd name="connsiteY1" fmla="*/ 0 h 1107281"/>
                      <a:gd name="connsiteX2" fmla="*/ 0 w 285750"/>
                      <a:gd name="connsiteY2" fmla="*/ 1107281 h 1107281"/>
                      <a:gd name="connsiteX3" fmla="*/ 285750 w 285750"/>
                      <a:gd name="connsiteY3" fmla="*/ 1107281 h 1107281"/>
                      <a:gd name="connsiteX4" fmla="*/ 279797 w 285750"/>
                      <a:gd name="connsiteY4" fmla="*/ 0 h 1107281"/>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85750" h="1107281">
                        <a:moveTo>
                          <a:pt x="279797" y="0"/>
                        </a:moveTo>
                        <a:lnTo>
                          <a:pt x="0" y="0"/>
                        </a:lnTo>
                        <a:lnTo>
                          <a:pt x="0" y="1107281"/>
                        </a:lnTo>
                        <a:lnTo>
                          <a:pt x="285750" y="1107281"/>
                        </a:lnTo>
                        <a:cubicBezTo>
                          <a:pt x="283766" y="738187"/>
                          <a:pt x="281781" y="369094"/>
                          <a:pt x="279797" y="0"/>
                        </a:cubicBezTo>
                        <a:close/>
                      </a:path>
                    </a:pathLst>
                  </a:cu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67" name="Freeform 66"/>
                  <xdr:cNvSpPr/>
                </xdr:nvSpPr>
                <xdr:spPr>
                  <a:xfrm>
                    <a:off x="5212921" y="12562951"/>
                    <a:ext cx="2106568" cy="139891"/>
                  </a:xfrm>
                  <a:custGeom>
                    <a:avLst/>
                    <a:gdLst>
                      <a:gd name="connsiteX0" fmla="*/ 0 w 2083594"/>
                      <a:gd name="connsiteY0" fmla="*/ 0 h 136922"/>
                      <a:gd name="connsiteX1" fmla="*/ 2083594 w 2083594"/>
                      <a:gd name="connsiteY1" fmla="*/ 0 h 136922"/>
                      <a:gd name="connsiteX2" fmla="*/ 2083594 w 2083594"/>
                      <a:gd name="connsiteY2" fmla="*/ 136922 h 136922"/>
                      <a:gd name="connsiteX3" fmla="*/ 11907 w 2083594"/>
                      <a:gd name="connsiteY3" fmla="*/ 136922 h 136922"/>
                      <a:gd name="connsiteX4" fmla="*/ 0 w 2083594"/>
                      <a:gd name="connsiteY4" fmla="*/ 0 h 136922"/>
                      <a:gd name="connsiteX0" fmla="*/ 962 w 2084556"/>
                      <a:gd name="connsiteY0" fmla="*/ 0 h 136922"/>
                      <a:gd name="connsiteX1" fmla="*/ 2084556 w 2084556"/>
                      <a:gd name="connsiteY1" fmla="*/ 0 h 136922"/>
                      <a:gd name="connsiteX2" fmla="*/ 2084556 w 2084556"/>
                      <a:gd name="connsiteY2" fmla="*/ 136922 h 136922"/>
                      <a:gd name="connsiteX3" fmla="*/ 0 w 2084556"/>
                      <a:gd name="connsiteY3" fmla="*/ 134317 h 136922"/>
                      <a:gd name="connsiteX4" fmla="*/ 962 w 2084556"/>
                      <a:gd name="connsiteY4" fmla="*/ 0 h 13692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084556" h="136922">
                        <a:moveTo>
                          <a:pt x="962" y="0"/>
                        </a:moveTo>
                        <a:lnTo>
                          <a:pt x="2084556" y="0"/>
                        </a:lnTo>
                        <a:lnTo>
                          <a:pt x="2084556" y="136922"/>
                        </a:lnTo>
                        <a:lnTo>
                          <a:pt x="0" y="134317"/>
                        </a:lnTo>
                        <a:cubicBezTo>
                          <a:pt x="321" y="89545"/>
                          <a:pt x="641" y="44772"/>
                          <a:pt x="962" y="0"/>
                        </a:cubicBezTo>
                        <a:close/>
                      </a:path>
                    </a:pathLst>
                  </a:cu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68" name="Freeform 67"/>
                  <xdr:cNvSpPr/>
                </xdr:nvSpPr>
                <xdr:spPr>
                  <a:xfrm>
                    <a:off x="5148598" y="12772788"/>
                    <a:ext cx="2251295" cy="104918"/>
                  </a:xfrm>
                  <a:custGeom>
                    <a:avLst/>
                    <a:gdLst>
                      <a:gd name="connsiteX0" fmla="*/ 0 w 2226469"/>
                      <a:gd name="connsiteY0" fmla="*/ 0 h 113110"/>
                      <a:gd name="connsiteX1" fmla="*/ 2226469 w 2226469"/>
                      <a:gd name="connsiteY1" fmla="*/ 0 h 113110"/>
                      <a:gd name="connsiteX2" fmla="*/ 2226469 w 2226469"/>
                      <a:gd name="connsiteY2" fmla="*/ 113110 h 113110"/>
                      <a:gd name="connsiteX3" fmla="*/ 5953 w 2226469"/>
                      <a:gd name="connsiteY3" fmla="*/ 113110 h 113110"/>
                      <a:gd name="connsiteX4" fmla="*/ 0 w 2226469"/>
                      <a:gd name="connsiteY4" fmla="*/ 0 h 113110"/>
                      <a:gd name="connsiteX0" fmla="*/ 0 w 2226469"/>
                      <a:gd name="connsiteY0" fmla="*/ 0 h 113110"/>
                      <a:gd name="connsiteX1" fmla="*/ 2226469 w 2226469"/>
                      <a:gd name="connsiteY1" fmla="*/ 0 h 113110"/>
                      <a:gd name="connsiteX2" fmla="*/ 2226469 w 2226469"/>
                      <a:gd name="connsiteY2" fmla="*/ 113110 h 113110"/>
                      <a:gd name="connsiteX3" fmla="*/ 806 w 2226469"/>
                      <a:gd name="connsiteY3" fmla="*/ 113110 h 113110"/>
                      <a:gd name="connsiteX4" fmla="*/ 0 w 2226469"/>
                      <a:gd name="connsiteY4" fmla="*/ 0 h 11311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226469" h="113110">
                        <a:moveTo>
                          <a:pt x="0" y="0"/>
                        </a:moveTo>
                        <a:lnTo>
                          <a:pt x="2226469" y="0"/>
                        </a:lnTo>
                        <a:lnTo>
                          <a:pt x="2226469" y="113110"/>
                        </a:lnTo>
                        <a:lnTo>
                          <a:pt x="806" y="113110"/>
                        </a:lnTo>
                        <a:cubicBezTo>
                          <a:pt x="537" y="75407"/>
                          <a:pt x="269" y="37703"/>
                          <a:pt x="0" y="0"/>
                        </a:cubicBezTo>
                        <a:close/>
                      </a:path>
                    </a:pathLst>
                  </a:cu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grpSp>
            <xdr:sp macro="" textlink="">
              <xdr:nvSpPr>
                <xdr:cNvPr id="71" name="TextBox 70"/>
                <xdr:cNvSpPr txBox="1"/>
              </xdr:nvSpPr>
              <xdr:spPr>
                <a:xfrm>
                  <a:off x="6991351" y="5219700"/>
                  <a:ext cx="1162947" cy="718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4000" b="1">
                      <a:solidFill>
                        <a:srgbClr val="002060"/>
                      </a:solidFill>
                    </a:rPr>
                    <a:t>FEES</a:t>
                  </a:r>
                </a:p>
              </xdr:txBody>
            </xdr:sp>
          </xdr:grpSp>
          <xdr:graphicFrame macro="">
            <xdr:nvGraphicFramePr>
              <xdr:cNvPr id="1753545" name="Chart 71"/>
              <xdr:cNvGraphicFramePr>
                <a:graphicFrameLocks/>
              </xdr:cNvGraphicFramePr>
            </xdr:nvGraphicFramePr>
            <xdr:xfrm>
              <a:off x="3428997" y="1476374"/>
              <a:ext cx="2781303" cy="2247901"/>
            </xdr:xfrm>
            <a:graphic>
              <a:graphicData uri="http://schemas.openxmlformats.org/drawingml/2006/chart">
                <c:chart xmlns:c="http://schemas.openxmlformats.org/drawingml/2006/chart" xmlns:r="http://schemas.openxmlformats.org/officeDocument/2006/relationships" r:id="rId1"/>
              </a:graphicData>
            </a:graphic>
          </xdr:graphicFrame>
        </xdr:grpSp>
        <xdr:grpSp>
          <xdr:nvGrpSpPr>
            <xdr:cNvPr id="1753523" name="Group 107"/>
            <xdr:cNvGrpSpPr>
              <a:grpSpLocks/>
            </xdr:cNvGrpSpPr>
          </xdr:nvGrpSpPr>
          <xdr:grpSpPr bwMode="auto">
            <a:xfrm>
              <a:off x="0" y="1257301"/>
              <a:ext cx="2962275" cy="904875"/>
              <a:chOff x="295276" y="1581151"/>
              <a:chExt cx="2962275" cy="904875"/>
            </a:xfrm>
          </xdr:grpSpPr>
          <xdr:sp macro="" textlink="A37">
            <xdr:nvSpPr>
              <xdr:cNvPr id="76" name="TextBox 75"/>
              <xdr:cNvSpPr txBox="1"/>
            </xdr:nvSpPr>
            <xdr:spPr>
              <a:xfrm>
                <a:off x="1390651" y="1581151"/>
                <a:ext cx="1400175"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A13CBC94-B9F5-4E41-BFC2-15DC25729A2F}" type="TxLink">
                  <a:rPr lang="en-GB" sz="1400" b="1"/>
                  <a:pPr/>
                  <a:t>Full Fees (92.4%)</a:t>
                </a:fld>
                <a:endParaRPr lang="en-GB" sz="1400" b="1"/>
              </a:p>
            </xdr:txBody>
          </xdr:sp>
          <xdr:sp macro="" textlink="">
            <xdr:nvSpPr>
              <xdr:cNvPr id="78" name="Right Arrow 77"/>
              <xdr:cNvSpPr/>
            </xdr:nvSpPr>
            <xdr:spPr>
              <a:xfrm>
                <a:off x="2867026" y="1714501"/>
                <a:ext cx="352425" cy="114300"/>
              </a:xfrm>
              <a:prstGeom prst="rightArrow">
                <a:avLst/>
              </a:prstGeom>
              <a:solidFill>
                <a:srgbClr val="002060"/>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B37">
            <xdr:nvSpPr>
              <xdr:cNvPr id="87" name="TextBox 86"/>
              <xdr:cNvSpPr txBox="1"/>
            </xdr:nvSpPr>
            <xdr:spPr>
              <a:xfrm>
                <a:off x="295276" y="2019301"/>
                <a:ext cx="2962275"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fld id="{86622E5E-D2F1-435B-ADF6-E0F88FAED3AD}" type="TxLink">
                  <a:rPr lang="en-GB" sz="1200" b="0"/>
                  <a:pPr algn="l"/>
                  <a:t>129,615 students receiving £219.9 million in fees at an average of £1,700 per student</a:t>
                </a:fld>
                <a:endParaRPr lang="en-GB" sz="1200" b="0"/>
              </a:p>
            </xdr:txBody>
          </xdr:sp>
          <xdr:sp macro="" textlink="B42">
            <xdr:nvSpPr>
              <xdr:cNvPr id="105" name="TextBox 104"/>
              <xdr:cNvSpPr txBox="1"/>
            </xdr:nvSpPr>
            <xdr:spPr>
              <a:xfrm>
                <a:off x="523876" y="1781176"/>
                <a:ext cx="2286000"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fld id="{D16B4344-961E-46AC-BD94-22164550349C}" type="TxLink">
                  <a:rPr lang="en-GB" sz="1200" b="0" i="1"/>
                  <a:pPr algn="r"/>
                  <a:t>Normal public fee rates</a:t>
                </a:fld>
                <a:endParaRPr lang="en-GB" sz="1200" b="0" i="1"/>
              </a:p>
            </xdr:txBody>
          </xdr:sp>
        </xdr:grpSp>
        <xdr:grpSp>
          <xdr:nvGrpSpPr>
            <xdr:cNvPr id="1753524" name="Group 108"/>
            <xdr:cNvGrpSpPr>
              <a:grpSpLocks/>
            </xdr:cNvGrpSpPr>
          </xdr:nvGrpSpPr>
          <xdr:grpSpPr bwMode="auto">
            <a:xfrm>
              <a:off x="9525" y="2266951"/>
              <a:ext cx="2962275" cy="885825"/>
              <a:chOff x="304801" y="2600326"/>
              <a:chExt cx="2962275" cy="885825"/>
            </a:xfrm>
          </xdr:grpSpPr>
          <xdr:sp macro="" textlink="A38">
            <xdr:nvSpPr>
              <xdr:cNvPr id="77" name="TextBox 76"/>
              <xdr:cNvSpPr txBox="1"/>
            </xdr:nvSpPr>
            <xdr:spPr>
              <a:xfrm>
                <a:off x="1485902" y="2600326"/>
                <a:ext cx="139065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D9B66242-BAD0-4B14-A42A-FC7B6637CD92}" type="TxLink">
                  <a:rPr lang="en-GB" sz="1400" b="1"/>
                  <a:pPr/>
                  <a:t>Half Fees (0.7%)</a:t>
                </a:fld>
                <a:endParaRPr lang="en-GB" sz="1400" b="1"/>
              </a:p>
            </xdr:txBody>
          </xdr:sp>
          <xdr:sp macro="" textlink="">
            <xdr:nvSpPr>
              <xdr:cNvPr id="79" name="Right Arrow 78"/>
              <xdr:cNvSpPr/>
            </xdr:nvSpPr>
            <xdr:spPr>
              <a:xfrm>
                <a:off x="2895601" y="2714626"/>
                <a:ext cx="352425" cy="114300"/>
              </a:xfrm>
              <a:prstGeom prst="rightArrow">
                <a:avLst/>
              </a:prstGeom>
              <a:solidFill>
                <a:srgbClr val="002060"/>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B38">
            <xdr:nvSpPr>
              <xdr:cNvPr id="89" name="TextBox 88"/>
              <xdr:cNvSpPr txBox="1"/>
            </xdr:nvSpPr>
            <xdr:spPr>
              <a:xfrm>
                <a:off x="304801" y="3019426"/>
                <a:ext cx="2962275"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fld id="{63E26105-2789-4D25-A036-C4DDF8D7F95E}" type="TxLink">
                  <a:rPr lang="en-GB" sz="1200" b="0"/>
                  <a:pPr algn="l"/>
                  <a:t>1,025 students receiving £0.9 million in fees at an average of £910 per student</a:t>
                </a:fld>
                <a:endParaRPr lang="en-GB" sz="1200" b="0"/>
              </a:p>
            </xdr:txBody>
          </xdr:sp>
          <xdr:sp macro="" textlink="B43">
            <xdr:nvSpPr>
              <xdr:cNvPr id="106" name="TextBox 105"/>
              <xdr:cNvSpPr txBox="1"/>
            </xdr:nvSpPr>
            <xdr:spPr>
              <a:xfrm>
                <a:off x="581026" y="2790826"/>
                <a:ext cx="2286000"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fld id="{8C300A8C-9D10-4A92-995E-360FAFC83DB1}" type="TxLink">
                  <a:rPr lang="en-GB" sz="1200" b="0" i="1"/>
                  <a:pPr algn="r"/>
                  <a:t>E.g. those on work placement</a:t>
                </a:fld>
                <a:endParaRPr lang="en-GB" sz="1200" b="0" i="1"/>
              </a:p>
            </xdr:txBody>
          </xdr:sp>
        </xdr:grpSp>
        <xdr:grpSp>
          <xdr:nvGrpSpPr>
            <xdr:cNvPr id="1753525" name="Group 122"/>
            <xdr:cNvGrpSpPr>
              <a:grpSpLocks/>
            </xdr:cNvGrpSpPr>
          </xdr:nvGrpSpPr>
          <xdr:grpSpPr bwMode="auto">
            <a:xfrm>
              <a:off x="6067425" y="981076"/>
              <a:ext cx="2466975" cy="2486024"/>
              <a:chOff x="6067425" y="981076"/>
              <a:chExt cx="2466975" cy="2486024"/>
            </a:xfrm>
          </xdr:grpSpPr>
          <xdr:sp macro="" textlink="">
            <xdr:nvSpPr>
              <xdr:cNvPr id="82" name="Right Brace 81"/>
              <xdr:cNvSpPr/>
            </xdr:nvSpPr>
            <xdr:spPr>
              <a:xfrm>
                <a:off x="6067425" y="1133476"/>
                <a:ext cx="495300" cy="1943099"/>
              </a:xfrm>
              <a:prstGeom prst="rightBrace">
                <a:avLst>
                  <a:gd name="adj1" fmla="val 8333"/>
                  <a:gd name="adj2" fmla="val 49510"/>
                </a:avLst>
              </a:prstGeom>
              <a:ln w="53975">
                <a:solidFill>
                  <a:srgbClr val="002060"/>
                </a:solidFill>
                <a:headEnd type="triangl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GB"/>
              </a:p>
            </xdr:txBody>
          </xdr:sp>
          <xdr:sp macro="" textlink="A39">
            <xdr:nvSpPr>
              <xdr:cNvPr id="86" name="TextBox 85"/>
              <xdr:cNvSpPr txBox="1"/>
            </xdr:nvSpPr>
            <xdr:spPr>
              <a:xfrm>
                <a:off x="6629400" y="981076"/>
                <a:ext cx="15240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D9D3BCF0-881F-410C-AFF7-3DE5DCE7871C}" type="TxLink">
                  <a:rPr lang="en-GB" sz="1400" b="1"/>
                  <a:pPr/>
                  <a:t>Other Fees (0.6%)</a:t>
                </a:fld>
                <a:endParaRPr lang="en-GB" sz="1400" b="1"/>
              </a:p>
            </xdr:txBody>
          </xdr:sp>
          <xdr:sp macro="" textlink="B39">
            <xdr:nvSpPr>
              <xdr:cNvPr id="90" name="TextBox 89"/>
              <xdr:cNvSpPr txBox="1"/>
            </xdr:nvSpPr>
            <xdr:spPr>
              <a:xfrm>
                <a:off x="6648450" y="2590800"/>
                <a:ext cx="1581150" cy="876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fld id="{3930C99B-0580-427A-BAF2-8315A84B8E2A}" type="TxLink">
                  <a:rPr lang="en-GB" sz="1200" b="0"/>
                  <a:pPr algn="l"/>
                  <a:t>900 students receiving £2.6 million in fees at an average of £2,940 per student</a:t>
                </a:fld>
                <a:endParaRPr lang="en-GB" sz="1200" b="0"/>
              </a:p>
            </xdr:txBody>
          </xdr:sp>
          <xdr:sp macro="" textlink="B44">
            <xdr:nvSpPr>
              <xdr:cNvPr id="107" name="TextBox 106"/>
              <xdr:cNvSpPr txBox="1"/>
            </xdr:nvSpPr>
            <xdr:spPr>
              <a:xfrm>
                <a:off x="6648450" y="1219201"/>
                <a:ext cx="1885950" cy="14477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fld id="{C715C7B1-6E52-46C0-992A-2885CDB50F21}" type="TxLink">
                  <a:rPr lang="en-GB" sz="1200" b="0" i="1"/>
                  <a:pPr algn="l"/>
                  <a:t>Such as private institutions who get a slightly different rate of tuition fee, or medicine students in fifth year of study</a:t>
                </a:fld>
                <a:endParaRPr lang="en-GB" sz="1200" b="0" i="1"/>
              </a:p>
            </xdr:txBody>
          </xdr:sp>
        </xdr:grpSp>
        <xdr:grpSp>
          <xdr:nvGrpSpPr>
            <xdr:cNvPr id="1753526" name="Group 111"/>
            <xdr:cNvGrpSpPr>
              <a:grpSpLocks/>
            </xdr:cNvGrpSpPr>
          </xdr:nvGrpSpPr>
          <xdr:grpSpPr bwMode="auto">
            <a:xfrm>
              <a:off x="447675" y="4029075"/>
              <a:ext cx="7200900" cy="561975"/>
              <a:chOff x="742951" y="4200525"/>
              <a:chExt cx="7200900" cy="561975"/>
            </a:xfrm>
          </xdr:grpSpPr>
          <xdr:sp macro="" textlink="A40">
            <xdr:nvSpPr>
              <xdr:cNvPr id="83" name="TextBox 82"/>
              <xdr:cNvSpPr txBox="1"/>
            </xdr:nvSpPr>
            <xdr:spPr>
              <a:xfrm>
                <a:off x="3219451" y="4200525"/>
                <a:ext cx="1381125"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3C558D46-E1D7-47E6-A010-605B6EC34B0C}" type="TxLink">
                  <a:rPr lang="en-GB" sz="1400" b="1"/>
                  <a:pPr/>
                  <a:t>Fee Loans (6.2%)</a:t>
                </a:fld>
                <a:endParaRPr lang="en-GB" sz="1400" b="1"/>
              </a:p>
            </xdr:txBody>
          </xdr:sp>
          <xdr:sp macro="" textlink="B40">
            <xdr:nvSpPr>
              <xdr:cNvPr id="91" name="TextBox 90"/>
              <xdr:cNvSpPr txBox="1"/>
            </xdr:nvSpPr>
            <xdr:spPr>
              <a:xfrm>
                <a:off x="4981576" y="4238625"/>
                <a:ext cx="2962275"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fld id="{5C3313B2-C2DF-4620-83FF-C16A489F2707}" type="TxLink">
                  <a:rPr lang="en-GB" sz="1200" b="0"/>
                  <a:pPr algn="l"/>
                  <a:t>8,700 students receiving £0.0 million in fee loans at an average of £6,270 per student</a:t>
                </a:fld>
                <a:endParaRPr lang="en-GB" sz="1200" b="0"/>
              </a:p>
            </xdr:txBody>
          </xdr:sp>
          <xdr:sp macro="" textlink="">
            <xdr:nvSpPr>
              <xdr:cNvPr id="92" name="Bent-Up Arrow 91"/>
              <xdr:cNvSpPr/>
            </xdr:nvSpPr>
            <xdr:spPr>
              <a:xfrm>
                <a:off x="4419601" y="4267200"/>
                <a:ext cx="485775" cy="400050"/>
              </a:xfrm>
              <a:prstGeom prst="bentUpArrow">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B45">
            <xdr:nvSpPr>
              <xdr:cNvPr id="111" name="TextBox 110"/>
              <xdr:cNvSpPr txBox="1"/>
            </xdr:nvSpPr>
            <xdr:spPr>
              <a:xfrm>
                <a:off x="742951" y="4457700"/>
                <a:ext cx="3629025" cy="304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fld id="{6472E35B-8325-4990-8D08-EE45172331C0}" type="TxLink">
                  <a:rPr lang="en-GB" sz="1200" b="0" i="1"/>
                  <a:pPr algn="l"/>
                  <a:t>Students taking out a Fee Loan to pay their tuition fees</a:t>
                </a:fld>
                <a:endParaRPr lang="en-GB" sz="1200" b="0" i="1"/>
              </a:p>
            </xdr:txBody>
          </xdr:sp>
        </xdr:grpSp>
      </xdr:grpSp>
      <xdr:grpSp>
        <xdr:nvGrpSpPr>
          <xdr:cNvPr id="4" name="Group 3"/>
          <xdr:cNvGrpSpPr/>
        </xdr:nvGrpSpPr>
        <xdr:grpSpPr>
          <a:xfrm>
            <a:off x="3362325" y="971550"/>
            <a:ext cx="2266950" cy="485775"/>
            <a:chOff x="3362325" y="971550"/>
            <a:chExt cx="2266950" cy="485775"/>
          </a:xfrm>
        </xdr:grpSpPr>
        <xdr:sp macro="" textlink="">
          <xdr:nvSpPr>
            <xdr:cNvPr id="2" name="TextBox 1"/>
            <xdr:cNvSpPr txBox="1"/>
          </xdr:nvSpPr>
          <xdr:spPr>
            <a:xfrm>
              <a:off x="3810001" y="971550"/>
              <a:ext cx="1390650" cy="4053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GB" sz="1000" i="1">
                  <a:solidFill>
                    <a:schemeClr val="bg1">
                      <a:lumMod val="50000"/>
                    </a:schemeClr>
                  </a:solidFill>
                </a:rPr>
                <a:t>Percentage of fee rate  amount paid</a:t>
              </a:r>
            </a:p>
          </xdr:txBody>
        </xdr:sp>
        <xdr:sp macro="" textlink="">
          <xdr:nvSpPr>
            <xdr:cNvPr id="3" name="Arc 2"/>
            <xdr:cNvSpPr/>
          </xdr:nvSpPr>
          <xdr:spPr>
            <a:xfrm>
              <a:off x="4714875" y="1133475"/>
              <a:ext cx="914400" cy="323850"/>
            </a:xfrm>
            <a:prstGeom prst="arc">
              <a:avLst/>
            </a:prstGeom>
            <a:ln>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sp macro="" textlink="">
          <xdr:nvSpPr>
            <xdr:cNvPr id="39" name="Arc 38"/>
            <xdr:cNvSpPr/>
          </xdr:nvSpPr>
          <xdr:spPr>
            <a:xfrm flipH="1">
              <a:off x="3362325" y="1133475"/>
              <a:ext cx="914400" cy="323850"/>
            </a:xfrm>
            <a:prstGeom prst="arc">
              <a:avLst/>
            </a:prstGeom>
            <a:ln>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grp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26</xdr:row>
      <xdr:rowOff>38100</xdr:rowOff>
    </xdr:from>
    <xdr:to>
      <xdr:col>8</xdr:col>
      <xdr:colOff>428625</xdr:colOff>
      <xdr:row>46</xdr:row>
      <xdr:rowOff>152400</xdr:rowOff>
    </xdr:to>
    <xdr:graphicFrame macro="">
      <xdr:nvGraphicFramePr>
        <xdr:cNvPr id="71378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3</xdr:row>
      <xdr:rowOff>23811</xdr:rowOff>
    </xdr:from>
    <xdr:to>
      <xdr:col>6</xdr:col>
      <xdr:colOff>442466</xdr:colOff>
      <xdr:row>13</xdr:row>
      <xdr:rowOff>9525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editAs="absolute">
    <xdr:from>
      <xdr:col>0</xdr:col>
      <xdr:colOff>0</xdr:colOff>
      <xdr:row>3</xdr:row>
      <xdr:rowOff>0</xdr:rowOff>
    </xdr:from>
    <xdr:to>
      <xdr:col>9</xdr:col>
      <xdr:colOff>428625</xdr:colOff>
      <xdr:row>23</xdr:row>
      <xdr:rowOff>114300</xdr:rowOff>
    </xdr:to>
    <xdr:graphicFrame macro="">
      <xdr:nvGraphicFramePr>
        <xdr:cNvPr id="99536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0.06371</cdr:x>
      <cdr:y>0.90818</cdr:y>
    </cdr:from>
    <cdr:to>
      <cdr:x>0.23887</cdr:x>
      <cdr:y>0.97247</cdr:y>
    </cdr:to>
    <cdr:sp macro="" textlink="">
      <cdr:nvSpPr>
        <cdr:cNvPr id="2" name="TextBox 2"/>
        <cdr:cNvSpPr txBox="1"/>
      </cdr:nvSpPr>
      <cdr:spPr>
        <a:xfrm xmlns:a="http://schemas.openxmlformats.org/drawingml/2006/main">
          <a:off x="436908" y="3736979"/>
          <a:ext cx="1201247" cy="264541"/>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r"/>
          <a:fld id="{32097417-167D-429A-9009-03E0118B7ABB}" type="TxLink">
            <a:rPr lang="en-GB" sz="1100" b="1"/>
            <a:pPr algn="r"/>
            <a:t>Amount £ million</a:t>
          </a:fld>
          <a:endParaRPr lang="en-GB" sz="1100" b="1"/>
        </a:p>
      </cdr:txBody>
    </cdr:sp>
  </cdr:relSizeAnchor>
  <cdr:relSizeAnchor xmlns:cdr="http://schemas.openxmlformats.org/drawingml/2006/chartDrawing">
    <cdr:from>
      <cdr:x>0.03935</cdr:x>
      <cdr:y>0.85262</cdr:y>
    </cdr:from>
    <cdr:to>
      <cdr:x>0.23887</cdr:x>
      <cdr:y>0.91692</cdr:y>
    </cdr:to>
    <cdr:sp macro="" textlink="">
      <cdr:nvSpPr>
        <cdr:cNvPr id="3" name="TextBox 3"/>
        <cdr:cNvSpPr txBox="1"/>
      </cdr:nvSpPr>
      <cdr:spPr>
        <a:xfrm xmlns:a="http://schemas.openxmlformats.org/drawingml/2006/main">
          <a:off x="269847" y="3508361"/>
          <a:ext cx="1368308" cy="264581"/>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r"/>
          <a:fld id="{1B41AE77-D72A-4EBB-B7ED-95FA5A6052AE}" type="TxLink">
            <a:rPr lang="en-GB" sz="1100" b="1"/>
            <a:pPr algn="r"/>
            <a:t>Number of Students</a:t>
          </a:fld>
          <a:endParaRPr lang="en-GB" sz="1100" b="1"/>
        </a:p>
      </cdr:txBody>
    </cdr:sp>
  </cdr:relSizeAnchor>
</c:userShapes>
</file>

<file path=xl/drawings/drawing16.xml><?xml version="1.0" encoding="utf-8"?>
<xdr:wsDr xmlns:xdr="http://schemas.openxmlformats.org/drawingml/2006/spreadsheetDrawing" xmlns:a="http://schemas.openxmlformats.org/drawingml/2006/main">
  <xdr:twoCellAnchor editAs="absolute">
    <xdr:from>
      <xdr:col>0</xdr:col>
      <xdr:colOff>0</xdr:colOff>
      <xdr:row>3</xdr:row>
      <xdr:rowOff>0</xdr:rowOff>
    </xdr:from>
    <xdr:to>
      <xdr:col>8</xdr:col>
      <xdr:colOff>428625</xdr:colOff>
      <xdr:row>23</xdr:row>
      <xdr:rowOff>114300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0.05525</cdr:x>
      <cdr:y>0.90818</cdr:y>
    </cdr:from>
    <cdr:to>
      <cdr:x>0.23887</cdr:x>
      <cdr:y>0.97247</cdr:y>
    </cdr:to>
    <cdr:sp macro="" textlink="'Figure 3.12'!$A$35">
      <cdr:nvSpPr>
        <cdr:cNvPr id="2" name="TextBox 2"/>
        <cdr:cNvSpPr txBox="1"/>
      </cdr:nvSpPr>
      <cdr:spPr>
        <a:xfrm xmlns:a="http://schemas.openxmlformats.org/drawingml/2006/main">
          <a:off x="378916" y="3736979"/>
          <a:ext cx="1259254" cy="26456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r"/>
          <a:fld id="{AD93B2A6-B0B4-414E-BC1C-D686FB9A553A}" type="TxLink">
            <a:rPr lang="en-US" sz="1100" b="1" i="0" u="none" strike="noStrike">
              <a:solidFill>
                <a:srgbClr val="000000"/>
              </a:solidFill>
              <a:latin typeface="Calibri"/>
              <a:cs typeface="Calibri"/>
            </a:rPr>
            <a:pPr algn="r"/>
            <a:t>Average support £</a:t>
          </a:fld>
          <a:endParaRPr lang="en-GB" sz="1050" b="1"/>
        </a:p>
      </cdr:txBody>
    </cdr:sp>
  </cdr:relSizeAnchor>
  <cdr:relSizeAnchor xmlns:cdr="http://schemas.openxmlformats.org/drawingml/2006/chartDrawing">
    <cdr:from>
      <cdr:x>0.03936</cdr:x>
      <cdr:y>0.85262</cdr:y>
    </cdr:from>
    <cdr:to>
      <cdr:x>0.23887</cdr:x>
      <cdr:y>0.91691</cdr:y>
    </cdr:to>
    <cdr:sp macro="" textlink="'Figure 3.12'!$A$30">
      <cdr:nvSpPr>
        <cdr:cNvPr id="3" name="TextBox 3"/>
        <cdr:cNvSpPr txBox="1"/>
      </cdr:nvSpPr>
      <cdr:spPr>
        <a:xfrm xmlns:a="http://schemas.openxmlformats.org/drawingml/2006/main">
          <a:off x="269911" y="3508361"/>
          <a:ext cx="1368259" cy="26456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r"/>
          <a:fld id="{2461F22B-1FB0-49A1-9282-02AD91F171B6}" type="TxLink">
            <a:rPr lang="en-US" sz="1100" b="1" i="0" u="none" strike="noStrike">
              <a:solidFill>
                <a:srgbClr val="000000"/>
              </a:solidFill>
              <a:latin typeface="Calibri"/>
              <a:cs typeface="Calibri"/>
            </a:rPr>
            <a:pPr algn="r"/>
            <a:t>Number of Students</a:t>
          </a:fld>
          <a:endParaRPr lang="en-GB" sz="1050" b="1"/>
        </a:p>
      </cdr:txBody>
    </cdr:sp>
  </cdr:relSizeAnchor>
  <cdr:relSizeAnchor xmlns:cdr="http://schemas.openxmlformats.org/drawingml/2006/chartDrawing">
    <cdr:from>
      <cdr:x>0.15417</cdr:x>
      <cdr:y>0.77778</cdr:y>
    </cdr:from>
    <cdr:to>
      <cdr:x>0.36029</cdr:x>
      <cdr:y>0.84017</cdr:y>
    </cdr:to>
    <cdr:sp macro="" textlink="">
      <cdr:nvSpPr>
        <cdr:cNvPr id="4" name="TextBox 3"/>
        <cdr:cNvSpPr txBox="1"/>
      </cdr:nvSpPr>
      <cdr:spPr>
        <a:xfrm xmlns:a="http://schemas.openxmlformats.org/drawingml/2006/main">
          <a:off x="1057275" y="3200400"/>
          <a:ext cx="1413592" cy="256737"/>
        </a:xfrm>
        <a:prstGeom xmlns:a="http://schemas.openxmlformats.org/drawingml/2006/main" prst="rect">
          <a:avLst/>
        </a:prstGeom>
      </cdr:spPr>
      <cdr:txBody>
        <a:bodyPr xmlns:a="http://schemas.openxmlformats.org/drawingml/2006/main" vertOverflow="clip" horzOverflow="clip" wrap="none" rtlCol="0">
          <a:spAutoFit/>
        </a:bodyPr>
        <a:lstStyle xmlns:a="http://schemas.openxmlformats.org/drawingml/2006/main"/>
        <a:p xmlns:a="http://schemas.openxmlformats.org/drawingml/2006/main">
          <a:r>
            <a:rPr lang="en-GB" sz="1050">
              <a:solidFill>
                <a:schemeClr val="bg1">
                  <a:lumMod val="50000"/>
                </a:schemeClr>
              </a:solidFill>
              <a:effectLst/>
              <a:latin typeface="+mn-lt"/>
              <a:ea typeface="+mn-ea"/>
              <a:cs typeface="+mn-cs"/>
              <a:sym typeface="Wingdings"/>
            </a:rPr>
            <a:t> </a:t>
          </a:r>
          <a:r>
            <a:rPr lang="en-GB" sz="1050">
              <a:solidFill>
                <a:schemeClr val="bg1">
                  <a:lumMod val="50000"/>
                </a:schemeClr>
              </a:solidFill>
            </a:rPr>
            <a:t>20%</a:t>
          </a:r>
          <a:r>
            <a:rPr lang="en-GB" sz="1050" baseline="0">
              <a:solidFill>
                <a:schemeClr val="bg1">
                  <a:lumMod val="50000"/>
                </a:schemeClr>
              </a:solidFill>
            </a:rPr>
            <a:t> most deprived</a:t>
          </a:r>
          <a:endParaRPr lang="en-GB" sz="1050">
            <a:solidFill>
              <a:schemeClr val="bg1">
                <a:lumMod val="50000"/>
              </a:schemeClr>
            </a:solidFill>
          </a:endParaRPr>
        </a:p>
      </cdr:txBody>
    </cdr:sp>
  </cdr:relSizeAnchor>
  <cdr:relSizeAnchor xmlns:cdr="http://schemas.openxmlformats.org/drawingml/2006/chartDrawing">
    <cdr:from>
      <cdr:x>0.65185</cdr:x>
      <cdr:y>0.77623</cdr:y>
    </cdr:from>
    <cdr:to>
      <cdr:x>0.85661</cdr:x>
      <cdr:y>0.84053</cdr:y>
    </cdr:to>
    <cdr:sp macro="" textlink="">
      <cdr:nvSpPr>
        <cdr:cNvPr id="5" name="TextBox 1"/>
        <cdr:cNvSpPr txBox="1"/>
      </cdr:nvSpPr>
      <cdr:spPr>
        <a:xfrm xmlns:a="http://schemas.openxmlformats.org/drawingml/2006/main">
          <a:off x="4470400" y="3194050"/>
          <a:ext cx="1404231" cy="264560"/>
        </a:xfrm>
        <a:prstGeom xmlns:a="http://schemas.openxmlformats.org/drawingml/2006/main" prst="rect">
          <a:avLst/>
        </a:prstGeom>
      </cdr:spPr>
      <cdr:txBody>
        <a:bodyPr xmlns:a="http://schemas.openxmlformats.org/drawingml/2006/main" wrap="non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050">
              <a:solidFill>
                <a:schemeClr val="bg1">
                  <a:lumMod val="50000"/>
                </a:schemeClr>
              </a:solidFill>
            </a:rPr>
            <a:t>20%</a:t>
          </a:r>
          <a:r>
            <a:rPr lang="en-GB" sz="1050" baseline="0">
              <a:solidFill>
                <a:schemeClr val="bg1">
                  <a:lumMod val="50000"/>
                </a:schemeClr>
              </a:solidFill>
            </a:rPr>
            <a:t> least deprived </a:t>
          </a:r>
          <a:r>
            <a:rPr lang="en-GB" sz="1100">
              <a:solidFill>
                <a:schemeClr val="bg1">
                  <a:lumMod val="50000"/>
                </a:schemeClr>
              </a:solidFill>
              <a:effectLst/>
              <a:latin typeface="+mn-lt"/>
              <a:ea typeface="+mn-ea"/>
              <a:cs typeface="+mn-cs"/>
              <a:sym typeface="Wingdings"/>
            </a:rPr>
            <a:t></a:t>
          </a:r>
          <a:endParaRPr lang="en-GB" sz="1050">
            <a:solidFill>
              <a:schemeClr val="bg1">
                <a:lumMod val="50000"/>
              </a:schemeClr>
            </a:solidFill>
          </a:endParaRPr>
        </a:p>
      </cdr:txBody>
    </cdr:sp>
  </cdr:relSizeAnchor>
</c:userShapes>
</file>

<file path=xl/drawings/drawing18.xml><?xml version="1.0" encoding="utf-8"?>
<xdr:wsDr xmlns:xdr="http://schemas.openxmlformats.org/drawingml/2006/spreadsheetDrawing" xmlns:a="http://schemas.openxmlformats.org/drawingml/2006/main">
  <xdr:twoCellAnchor editAs="absolute">
    <xdr:from>
      <xdr:col>0</xdr:col>
      <xdr:colOff>1</xdr:colOff>
      <xdr:row>3</xdr:row>
      <xdr:rowOff>63500</xdr:rowOff>
    </xdr:from>
    <xdr:to>
      <xdr:col>6</xdr:col>
      <xdr:colOff>723901</xdr:colOff>
      <xdr:row>22</xdr:row>
      <xdr:rowOff>66675</xdr:rowOff>
    </xdr:to>
    <xdr:graphicFrame macro="">
      <xdr:nvGraphicFramePr>
        <xdr:cNvPr id="62" name="Chart 6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0.02616</cdr:x>
      <cdr:y>0.86227</cdr:y>
    </cdr:from>
    <cdr:to>
      <cdr:x>0.53115</cdr:x>
      <cdr:y>0.92769</cdr:y>
    </cdr:to>
    <cdr:sp macro="" textlink="">
      <cdr:nvSpPr>
        <cdr:cNvPr id="2" name="TextBox 1"/>
        <cdr:cNvSpPr txBox="1"/>
      </cdr:nvSpPr>
      <cdr:spPr>
        <a:xfrm xmlns:a="http://schemas.openxmlformats.org/drawingml/2006/main">
          <a:off x="222250" y="3279775"/>
          <a:ext cx="4290534" cy="248851"/>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GB" sz="1000" i="1">
              <a:solidFill>
                <a:schemeClr val="bg1">
                  <a:lumMod val="50000"/>
                </a:schemeClr>
              </a:solidFill>
            </a:rPr>
            <a:t>Number of students supported | Support £</a:t>
          </a:r>
          <a:r>
            <a:rPr lang="en-GB" sz="1000" i="1" baseline="0">
              <a:solidFill>
                <a:schemeClr val="bg1">
                  <a:lumMod val="50000"/>
                </a:schemeClr>
              </a:solidFill>
            </a:rPr>
            <a:t> million | % of total financial support</a:t>
          </a:r>
          <a:endParaRPr lang="en-GB" sz="1000" i="1">
            <a:solidFill>
              <a:schemeClr val="bg1">
                <a:lumMod val="50000"/>
              </a:schemeClr>
            </a:solidFill>
          </a:endParaRP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0</xdr:colOff>
      <xdr:row>1</xdr:row>
      <xdr:rowOff>235799</xdr:rowOff>
    </xdr:from>
    <xdr:to>
      <xdr:col>9</xdr:col>
      <xdr:colOff>104777</xdr:colOff>
      <xdr:row>39</xdr:row>
      <xdr:rowOff>57150</xdr:rowOff>
    </xdr:to>
    <xdr:grpSp>
      <xdr:nvGrpSpPr>
        <xdr:cNvPr id="23" name="Group 22"/>
        <xdr:cNvGrpSpPr/>
      </xdr:nvGrpSpPr>
      <xdr:grpSpPr>
        <a:xfrm>
          <a:off x="0" y="531074"/>
          <a:ext cx="7248527" cy="7460401"/>
          <a:chOff x="0" y="531074"/>
          <a:chExt cx="7248527" cy="7460401"/>
        </a:xfrm>
      </xdr:grpSpPr>
      <xdr:grpSp>
        <xdr:nvGrpSpPr>
          <xdr:cNvPr id="39" name="Group 38"/>
          <xdr:cNvGrpSpPr/>
        </xdr:nvGrpSpPr>
        <xdr:grpSpPr>
          <a:xfrm>
            <a:off x="0" y="531074"/>
            <a:ext cx="7243270" cy="7393726"/>
            <a:chOff x="345407" y="502499"/>
            <a:chExt cx="7243270" cy="7393726"/>
          </a:xfrm>
        </xdr:grpSpPr>
        <xdr:grpSp>
          <xdr:nvGrpSpPr>
            <xdr:cNvPr id="1177117" name="Group 8"/>
            <xdr:cNvGrpSpPr>
              <a:grpSpLocks/>
            </xdr:cNvGrpSpPr>
          </xdr:nvGrpSpPr>
          <xdr:grpSpPr bwMode="auto">
            <a:xfrm>
              <a:off x="790574" y="981075"/>
              <a:ext cx="6315078" cy="6315074"/>
              <a:chOff x="2085409" y="935904"/>
              <a:chExt cx="3641563" cy="3637310"/>
            </a:xfrm>
          </xdr:grpSpPr>
          <xdr:sp macro="" textlink="">
            <xdr:nvSpPr>
              <xdr:cNvPr id="3" name="Right Triangle 2"/>
              <xdr:cNvSpPr/>
            </xdr:nvSpPr>
            <xdr:spPr>
              <a:xfrm>
                <a:off x="3952877" y="935904"/>
                <a:ext cx="1774094" cy="1772023"/>
              </a:xfrm>
              <a:prstGeom prst="rtTriangle">
                <a:avLst/>
              </a:prstGeom>
              <a:solidFill>
                <a:srgbClr val="4F81B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4" name="Right Triangle 3"/>
              <xdr:cNvSpPr/>
            </xdr:nvSpPr>
            <xdr:spPr>
              <a:xfrm rot="16200000">
                <a:off x="2086445" y="934869"/>
                <a:ext cx="1772023" cy="1774094"/>
              </a:xfrm>
              <a:prstGeom prst="rtTriangle">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5" name="Right Triangle 4"/>
              <xdr:cNvSpPr/>
            </xdr:nvSpPr>
            <xdr:spPr>
              <a:xfrm rot="10800000">
                <a:off x="2085409" y="2801191"/>
                <a:ext cx="1774094" cy="1772023"/>
              </a:xfrm>
              <a:prstGeom prst="rtTriangle">
                <a:avLst/>
              </a:prstGeom>
              <a:solidFill>
                <a:srgbClr val="81C9B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6" name="Right Triangle 5"/>
              <xdr:cNvSpPr/>
            </xdr:nvSpPr>
            <xdr:spPr>
              <a:xfrm rot="5400000">
                <a:off x="3953913" y="2800156"/>
                <a:ext cx="1772023" cy="1774094"/>
              </a:xfrm>
              <a:prstGeom prst="rtTriangle">
                <a:avLst/>
              </a:prstGeom>
              <a:solidFill>
                <a:srgbClr val="0080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8" name="Oval 7"/>
              <xdr:cNvSpPr/>
            </xdr:nvSpPr>
            <xdr:spPr>
              <a:xfrm>
                <a:off x="3128994" y="1972784"/>
                <a:ext cx="1554392" cy="1552577"/>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grpSp>
        <xdr:grpSp>
          <xdr:nvGrpSpPr>
            <xdr:cNvPr id="38" name="Group 37"/>
            <xdr:cNvGrpSpPr/>
          </xdr:nvGrpSpPr>
          <xdr:grpSpPr>
            <a:xfrm>
              <a:off x="3962400" y="7324725"/>
              <a:ext cx="3448050" cy="409575"/>
              <a:chOff x="3543300" y="7324725"/>
              <a:chExt cx="3448050" cy="409575"/>
            </a:xfrm>
          </xdr:grpSpPr>
          <xdr:sp macro="" textlink="">
            <xdr:nvSpPr>
              <xdr:cNvPr id="17" name="TextBox 16"/>
              <xdr:cNvSpPr txBox="1"/>
            </xdr:nvSpPr>
            <xdr:spPr bwMode="auto">
              <a:xfrm>
                <a:off x="3543300" y="7324725"/>
                <a:ext cx="24968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GB" sz="1000"/>
                  <a:t>2</a:t>
                </a:r>
              </a:p>
            </xdr:txBody>
          </xdr:sp>
          <xdr:sp macro="" textlink="$A$62">
            <xdr:nvSpPr>
              <xdr:cNvPr id="18" name="TextBox 17"/>
              <xdr:cNvSpPr txBox="1"/>
            </xdr:nvSpPr>
            <xdr:spPr bwMode="auto">
              <a:xfrm>
                <a:off x="3695700" y="7324725"/>
                <a:ext cx="3295650" cy="4095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fld id="{F8061EE8-9ECD-4493-BF00-50EA9FD82AAC}" type="TxLink">
                  <a:rPr lang="en-GB" sz="1000"/>
                  <a:pPr/>
                  <a:t>Nursing and Midwifery Bursary Scheme - provisional data 2017-18</a:t>
                </a:fld>
                <a:endParaRPr lang="en-GB" sz="1000"/>
              </a:p>
            </xdr:txBody>
          </xdr:sp>
        </xdr:grpSp>
        <xdr:grpSp>
          <xdr:nvGrpSpPr>
            <xdr:cNvPr id="37" name="Group 36"/>
            <xdr:cNvGrpSpPr/>
          </xdr:nvGrpSpPr>
          <xdr:grpSpPr>
            <a:xfrm>
              <a:off x="504825" y="7334250"/>
              <a:ext cx="3448050" cy="561975"/>
              <a:chOff x="85725" y="7334250"/>
              <a:chExt cx="3448050" cy="561975"/>
            </a:xfrm>
          </xdr:grpSpPr>
          <xdr:sp macro="" textlink="">
            <xdr:nvSpPr>
              <xdr:cNvPr id="19" name="TextBox 18"/>
              <xdr:cNvSpPr txBox="1"/>
            </xdr:nvSpPr>
            <xdr:spPr bwMode="auto">
              <a:xfrm>
                <a:off x="85725" y="7343775"/>
                <a:ext cx="24968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GB" sz="1000"/>
                  <a:t>1</a:t>
                </a:r>
              </a:p>
            </xdr:txBody>
          </xdr:sp>
          <xdr:sp macro="" textlink="$A$63">
            <xdr:nvSpPr>
              <xdr:cNvPr id="20" name="TextBox 19"/>
              <xdr:cNvSpPr txBox="1"/>
            </xdr:nvSpPr>
            <xdr:spPr bwMode="auto">
              <a:xfrm>
                <a:off x="238125" y="7334250"/>
                <a:ext cx="3295650" cy="561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fld id="{3B5AE372-36ED-44E3-B463-36A985BD138F}" type="TxLink">
                  <a:rPr lang="en-GB" sz="1000"/>
                  <a:pPr/>
                  <a:t>Discretionary and Discretionary Childcare Fund schemes: assessment of applications and issuing of amounts as administered by institutions, 2016-17 results</a:t>
                </a:fld>
                <a:endParaRPr lang="en-GB" sz="1000"/>
              </a:p>
            </xdr:txBody>
          </xdr:sp>
        </xdr:grpSp>
        <xdr:grpSp>
          <xdr:nvGrpSpPr>
            <xdr:cNvPr id="7" name="Group 6"/>
            <xdr:cNvGrpSpPr/>
          </xdr:nvGrpSpPr>
          <xdr:grpSpPr>
            <a:xfrm>
              <a:off x="345407" y="2488651"/>
              <a:ext cx="4572000" cy="695086"/>
              <a:chOff x="345407" y="2488651"/>
              <a:chExt cx="4572000" cy="695086"/>
            </a:xfrm>
          </xdr:grpSpPr>
          <xdr:sp macro="" textlink="">
            <xdr:nvSpPr>
              <xdr:cNvPr id="10" name="TextBox 9"/>
              <xdr:cNvSpPr txBox="1"/>
            </xdr:nvSpPr>
            <xdr:spPr bwMode="auto">
              <a:xfrm rot="18900000">
                <a:off x="345407" y="2488651"/>
                <a:ext cx="4267200" cy="3902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GB" sz="1500" b="1">
                    <a:solidFill>
                      <a:schemeClr val="bg1"/>
                    </a:solidFill>
                  </a:rPr>
                  <a:t>Full-time students</a:t>
                </a:r>
              </a:p>
            </xdr:txBody>
          </xdr:sp>
          <xdr:sp macro="" textlink="$E$57">
            <xdr:nvSpPr>
              <xdr:cNvPr id="21" name="TextBox 20"/>
              <xdr:cNvSpPr txBox="1"/>
            </xdr:nvSpPr>
            <xdr:spPr bwMode="auto">
              <a:xfrm rot="18900000">
                <a:off x="516857" y="2650576"/>
                <a:ext cx="4267200" cy="3902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fld id="{9539E52B-D8C9-40B4-898A-3E28283C6D7A}" type="TxLink">
                  <a:rPr lang="en-GB" sz="1200" b="1">
                    <a:solidFill>
                      <a:schemeClr val="bg1"/>
                    </a:solidFill>
                  </a:rPr>
                  <a:pPr algn="ctr"/>
                  <a:t>147,920 supported students</a:t>
                </a:fld>
                <a:endParaRPr lang="en-GB" sz="1200" b="1">
                  <a:solidFill>
                    <a:schemeClr val="bg1"/>
                  </a:solidFill>
                </a:endParaRPr>
              </a:p>
            </xdr:txBody>
          </xdr:sp>
          <xdr:sp macro="" textlink="$F$57">
            <xdr:nvSpPr>
              <xdr:cNvPr id="22" name="TextBox 21"/>
              <xdr:cNvSpPr txBox="1"/>
            </xdr:nvSpPr>
            <xdr:spPr bwMode="auto">
              <a:xfrm rot="18900000">
                <a:off x="650207" y="2793451"/>
                <a:ext cx="4267200" cy="3902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fld id="{5AA19E9B-D42B-4023-9EAC-490EF9DC28E5}" type="TxLink">
                  <a:rPr lang="en-GB" sz="1200" b="1">
                    <a:solidFill>
                      <a:schemeClr val="bg1"/>
                    </a:solidFill>
                  </a:rPr>
                  <a:pPr algn="ctr"/>
                  <a:t>£882.7 million @ £5,970 per student</a:t>
                </a:fld>
                <a:endParaRPr lang="en-GB" sz="1200" b="1">
                  <a:solidFill>
                    <a:schemeClr val="bg1"/>
                  </a:solidFill>
                </a:endParaRPr>
              </a:p>
            </xdr:txBody>
          </xdr:sp>
        </xdr:grpSp>
        <xdr:grpSp>
          <xdr:nvGrpSpPr>
            <xdr:cNvPr id="9" name="Group 8"/>
            <xdr:cNvGrpSpPr/>
          </xdr:nvGrpSpPr>
          <xdr:grpSpPr>
            <a:xfrm>
              <a:off x="4990178" y="502499"/>
              <a:ext cx="587522" cy="4610100"/>
              <a:chOff x="4990178" y="502499"/>
              <a:chExt cx="587522" cy="4610100"/>
            </a:xfrm>
          </xdr:grpSpPr>
          <xdr:sp macro="" textlink="">
            <xdr:nvSpPr>
              <xdr:cNvPr id="12" name="TextBox 11"/>
              <xdr:cNvSpPr txBox="1"/>
            </xdr:nvSpPr>
            <xdr:spPr bwMode="auto">
              <a:xfrm rot="2700000">
                <a:off x="3302739" y="2494737"/>
                <a:ext cx="4267200" cy="2827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GB" sz="1500" b="1">
                    <a:solidFill>
                      <a:schemeClr val="bg1"/>
                    </a:solidFill>
                    <a:effectLst/>
                    <a:latin typeface="+mn-lt"/>
                    <a:ea typeface="+mn-ea"/>
                    <a:cs typeface="+mn-cs"/>
                  </a:rPr>
                  <a:t>Part-time students</a:t>
                </a:r>
                <a:endParaRPr lang="en-GB" sz="1500">
                  <a:solidFill>
                    <a:schemeClr val="bg1"/>
                  </a:solidFill>
                  <a:effectLst/>
                </a:endParaRPr>
              </a:p>
            </xdr:txBody>
          </xdr:sp>
          <xdr:sp macro="" textlink="$E$58">
            <xdr:nvSpPr>
              <xdr:cNvPr id="26" name="TextBox 25"/>
              <xdr:cNvSpPr txBox="1"/>
            </xdr:nvSpPr>
            <xdr:spPr bwMode="auto">
              <a:xfrm rot="2700000">
                <a:off x="3131290" y="2685237"/>
                <a:ext cx="4267200" cy="2827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lnSpc>
                    <a:spcPts val="1100"/>
                  </a:lnSpc>
                </a:pPr>
                <a:fld id="{C945E26C-C69D-4560-B896-BB87D5ED3585}" type="TxLink">
                  <a:rPr lang="en-GB" sz="1200" b="1">
                    <a:solidFill>
                      <a:schemeClr val="bg1"/>
                    </a:solidFill>
                    <a:effectLst/>
                    <a:latin typeface="+mn-lt"/>
                    <a:ea typeface="+mn-ea"/>
                    <a:cs typeface="+mn-cs"/>
                  </a:rPr>
                  <a:pPr algn="ctr">
                    <a:lnSpc>
                      <a:spcPts val="1100"/>
                    </a:lnSpc>
                  </a:pPr>
                  <a:t>19,470 supported students</a:t>
                </a:fld>
                <a:endParaRPr lang="en-GB" sz="1200">
                  <a:solidFill>
                    <a:schemeClr val="bg1"/>
                  </a:solidFill>
                  <a:effectLst/>
                </a:endParaRPr>
              </a:p>
            </xdr:txBody>
          </xdr:sp>
          <xdr:sp macro="" textlink="$F$58">
            <xdr:nvSpPr>
              <xdr:cNvPr id="27" name="TextBox 26"/>
              <xdr:cNvSpPr txBox="1"/>
            </xdr:nvSpPr>
            <xdr:spPr bwMode="auto">
              <a:xfrm rot="2700000">
                <a:off x="2997940" y="2837637"/>
                <a:ext cx="4267200" cy="2827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lnSpc>
                    <a:spcPts val="1100"/>
                  </a:lnSpc>
                </a:pPr>
                <a:fld id="{69B592A5-2595-4498-ABA2-D7F63DA6B6CE}" type="TxLink">
                  <a:rPr lang="en-GB" sz="1200" b="1">
                    <a:solidFill>
                      <a:schemeClr val="bg1"/>
                    </a:solidFill>
                    <a:effectLst/>
                    <a:latin typeface="+mn-lt"/>
                    <a:ea typeface="+mn-ea"/>
                    <a:cs typeface="+mn-cs"/>
                  </a:rPr>
                  <a:pPr algn="ctr">
                    <a:lnSpc>
                      <a:spcPts val="1100"/>
                    </a:lnSpc>
                  </a:pPr>
                  <a:t>£15.7 million @ £810 per student</a:t>
                </a:fld>
                <a:endParaRPr lang="en-GB" sz="1200">
                  <a:solidFill>
                    <a:schemeClr val="bg1"/>
                  </a:solidFill>
                  <a:effectLst/>
                </a:endParaRPr>
              </a:p>
            </xdr:txBody>
          </xdr:sp>
        </xdr:grpSp>
        <xdr:grpSp>
          <xdr:nvGrpSpPr>
            <xdr:cNvPr id="14" name="Group 13"/>
            <xdr:cNvGrpSpPr/>
          </xdr:nvGrpSpPr>
          <xdr:grpSpPr>
            <a:xfrm>
              <a:off x="3016677" y="5148304"/>
              <a:ext cx="4572000" cy="689745"/>
              <a:chOff x="3016677" y="5148304"/>
              <a:chExt cx="4572000" cy="689745"/>
            </a:xfrm>
          </xdr:grpSpPr>
          <xdr:sp macro="" textlink="">
            <xdr:nvSpPr>
              <xdr:cNvPr id="11" name="TextBox 10"/>
              <xdr:cNvSpPr txBox="1"/>
            </xdr:nvSpPr>
            <xdr:spPr bwMode="auto">
              <a:xfrm rot="18900000">
                <a:off x="3016677" y="5148304"/>
                <a:ext cx="4267200" cy="3849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indent="0" algn="ctr" defTabSz="914400" eaLnBrk="1" fontAlgn="auto" latinLnBrk="0" hangingPunct="1">
                  <a:lnSpc>
                    <a:spcPct val="100000"/>
                  </a:lnSpc>
                  <a:spcBef>
                    <a:spcPts val="0"/>
                  </a:spcBef>
                  <a:spcAft>
                    <a:spcPts val="0"/>
                  </a:spcAft>
                  <a:buClrTx/>
                  <a:buSzTx/>
                  <a:buFontTx/>
                  <a:buNone/>
                  <a:tabLst/>
                  <a:defRPr/>
                </a:pPr>
                <a:r>
                  <a:rPr lang="en-GB" sz="1500" b="1">
                    <a:solidFill>
                      <a:schemeClr val="bg1"/>
                    </a:solidFill>
                    <a:effectLst/>
                    <a:latin typeface="+mn-lt"/>
                    <a:ea typeface="+mn-ea"/>
                    <a:cs typeface="+mn-cs"/>
                  </a:rPr>
                  <a:t>Nursing and Midwifery</a:t>
                </a:r>
                <a:r>
                  <a:rPr lang="en-GB" sz="1500" b="1" baseline="0">
                    <a:solidFill>
                      <a:schemeClr val="bg1"/>
                    </a:solidFill>
                    <a:effectLst/>
                    <a:latin typeface="+mn-lt"/>
                    <a:ea typeface="+mn-ea"/>
                    <a:cs typeface="+mn-cs"/>
                  </a:rPr>
                  <a:t> students</a:t>
                </a:r>
                <a:r>
                  <a:rPr lang="en-GB" sz="1500" b="1">
                    <a:solidFill>
                      <a:schemeClr val="bg1"/>
                    </a:solidFill>
                    <a:effectLst/>
                    <a:latin typeface="+mn-lt"/>
                    <a:ea typeface="+mn-ea"/>
                    <a:cs typeface="+mn-cs"/>
                  </a:rPr>
                  <a:t> </a:t>
                </a:r>
                <a:r>
                  <a:rPr lang="en-GB" sz="1500" b="1" baseline="30000">
                    <a:solidFill>
                      <a:schemeClr val="bg1"/>
                    </a:solidFill>
                    <a:effectLst/>
                    <a:latin typeface="+mn-lt"/>
                    <a:ea typeface="+mn-ea"/>
                    <a:cs typeface="+mn-cs"/>
                  </a:rPr>
                  <a:t>2</a:t>
                </a:r>
                <a:endParaRPr lang="en-GB" sz="1500" baseline="30000">
                  <a:solidFill>
                    <a:schemeClr val="bg1"/>
                  </a:solidFill>
                  <a:effectLst/>
                </a:endParaRPr>
              </a:p>
            </xdr:txBody>
          </xdr:sp>
          <xdr:sp macro="" textlink="$E$59">
            <xdr:nvSpPr>
              <xdr:cNvPr id="28" name="TextBox 27"/>
              <xdr:cNvSpPr txBox="1"/>
            </xdr:nvSpPr>
            <xdr:spPr bwMode="auto">
              <a:xfrm rot="18900000">
                <a:off x="3169077" y="5300704"/>
                <a:ext cx="4267200" cy="3849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fld id="{D99F630F-A493-4101-A106-0DE3700391B5}" type="TxLink">
                  <a:rPr lang="en-GB" sz="1200" b="1">
                    <a:solidFill>
                      <a:schemeClr val="bg1"/>
                    </a:solidFill>
                    <a:effectLst/>
                    <a:latin typeface="+mn-lt"/>
                    <a:ea typeface="+mn-ea"/>
                    <a:cs typeface="+mn-cs"/>
                  </a:rPr>
                  <a:pPr algn="ctr"/>
                  <a:t>9,015 supported students</a:t>
                </a:fld>
                <a:endParaRPr lang="en-GB" sz="1200">
                  <a:solidFill>
                    <a:schemeClr val="bg1"/>
                  </a:solidFill>
                  <a:effectLst/>
                </a:endParaRPr>
              </a:p>
            </xdr:txBody>
          </xdr:sp>
          <xdr:sp macro="" textlink="$F$59">
            <xdr:nvSpPr>
              <xdr:cNvPr id="29" name="TextBox 28"/>
              <xdr:cNvSpPr txBox="1"/>
            </xdr:nvSpPr>
            <xdr:spPr bwMode="auto">
              <a:xfrm rot="18900000">
                <a:off x="3321477" y="5453104"/>
                <a:ext cx="4267200" cy="3849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fld id="{1681CC0B-8ACB-412E-A4C4-15C566A5092C}" type="TxLink">
                  <a:rPr lang="en-GB" sz="1200" b="1">
                    <a:solidFill>
                      <a:schemeClr val="bg1"/>
                    </a:solidFill>
                    <a:effectLst/>
                    <a:latin typeface="+mn-lt"/>
                    <a:ea typeface="+mn-ea"/>
                    <a:cs typeface="+mn-cs"/>
                  </a:rPr>
                  <a:pPr algn="ctr"/>
                  <a:t>£66.9 million @ £7,430 per student</a:t>
                </a:fld>
                <a:endParaRPr lang="en-GB" sz="1200">
                  <a:solidFill>
                    <a:schemeClr val="bg1"/>
                  </a:solidFill>
                  <a:effectLst/>
                </a:endParaRPr>
              </a:p>
            </xdr:txBody>
          </xdr:sp>
        </xdr:grpSp>
        <xdr:grpSp>
          <xdr:nvGrpSpPr>
            <xdr:cNvPr id="16" name="Group 15"/>
            <xdr:cNvGrpSpPr/>
          </xdr:nvGrpSpPr>
          <xdr:grpSpPr>
            <a:xfrm>
              <a:off x="2239764" y="3214812"/>
              <a:ext cx="673247" cy="4572001"/>
              <a:chOff x="2239764" y="3214812"/>
              <a:chExt cx="673247" cy="4572001"/>
            </a:xfrm>
          </xdr:grpSpPr>
          <xdr:sp macro="" textlink="">
            <xdr:nvSpPr>
              <xdr:cNvPr id="13" name="TextBox 12"/>
              <xdr:cNvSpPr txBox="1"/>
            </xdr:nvSpPr>
            <xdr:spPr bwMode="auto">
              <a:xfrm rot="2700000">
                <a:off x="580899" y="5149902"/>
                <a:ext cx="4267201" cy="3970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GB" sz="1500" b="1">
                    <a:solidFill>
                      <a:schemeClr val="bg1"/>
                    </a:solidFill>
                  </a:rPr>
                  <a:t>Discretionary </a:t>
                </a:r>
                <a:r>
                  <a:rPr lang="en-GB" sz="1500" b="1" baseline="0">
                    <a:solidFill>
                      <a:schemeClr val="bg1"/>
                    </a:solidFill>
                  </a:rPr>
                  <a:t> and Childcare Funds </a:t>
                </a:r>
                <a:r>
                  <a:rPr lang="en-GB" sz="1500" b="1" baseline="30000">
                    <a:solidFill>
                      <a:schemeClr val="bg1"/>
                    </a:solidFill>
                  </a:rPr>
                  <a:t>1</a:t>
                </a:r>
              </a:p>
            </xdr:txBody>
          </xdr:sp>
          <xdr:sp macro="" textlink="$E$60">
            <xdr:nvSpPr>
              <xdr:cNvPr id="30" name="TextBox 29"/>
              <xdr:cNvSpPr txBox="1"/>
            </xdr:nvSpPr>
            <xdr:spPr bwMode="auto">
              <a:xfrm rot="2700000">
                <a:off x="447549" y="5302302"/>
                <a:ext cx="4267201" cy="3970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fld id="{517224C4-3540-4022-B45A-18B053A35E15}" type="TxLink">
                  <a:rPr lang="en-GB" sz="1200" b="1">
                    <a:solidFill>
                      <a:schemeClr val="bg1"/>
                    </a:solidFill>
                  </a:rPr>
                  <a:pPr algn="ctr"/>
                  <a:t>16,295 instances of assistance</a:t>
                </a:fld>
                <a:endParaRPr lang="en-GB" sz="1200" b="1" baseline="30000">
                  <a:solidFill>
                    <a:schemeClr val="bg1"/>
                  </a:solidFill>
                </a:endParaRPr>
              </a:p>
            </xdr:txBody>
          </xdr:sp>
          <xdr:sp macro="" textlink="$F$60">
            <xdr:nvSpPr>
              <xdr:cNvPr id="31" name="TextBox 30"/>
              <xdr:cNvSpPr txBox="1"/>
            </xdr:nvSpPr>
            <xdr:spPr bwMode="auto">
              <a:xfrm rot="2700000">
                <a:off x="304674" y="5454702"/>
                <a:ext cx="4267201" cy="3970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fld id="{734772CB-D75E-4204-A79A-45E0213F56B2}" type="TxLink">
                  <a:rPr lang="en-GB" sz="1200" b="1">
                    <a:solidFill>
                      <a:schemeClr val="bg1"/>
                    </a:solidFill>
                  </a:rPr>
                  <a:pPr algn="ctr"/>
                  <a:t>£16.6 million @ £1,020 per instance of support</a:t>
                </a:fld>
                <a:endParaRPr lang="en-GB" sz="1200" b="1" baseline="30000">
                  <a:solidFill>
                    <a:schemeClr val="bg1"/>
                  </a:solidFill>
                </a:endParaRPr>
              </a:p>
            </xdr:txBody>
          </xdr:sp>
        </xdr:grpSp>
        <xdr:grpSp>
          <xdr:nvGrpSpPr>
            <xdr:cNvPr id="2" name="Group 1"/>
            <xdr:cNvGrpSpPr/>
          </xdr:nvGrpSpPr>
          <xdr:grpSpPr>
            <a:xfrm>
              <a:off x="2543175" y="3390900"/>
              <a:ext cx="2800350" cy="1657350"/>
              <a:chOff x="2543175" y="3390900"/>
              <a:chExt cx="2800350" cy="1657350"/>
            </a:xfrm>
          </xdr:grpSpPr>
          <xdr:sp macro="" textlink="$A$55">
            <xdr:nvSpPr>
              <xdr:cNvPr id="15" name="TextBox 14"/>
              <xdr:cNvSpPr txBox="1"/>
            </xdr:nvSpPr>
            <xdr:spPr bwMode="auto">
              <a:xfrm>
                <a:off x="2543175" y="3390900"/>
                <a:ext cx="2800350" cy="533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fld id="{2A3A6FB4-F209-40F2-8281-8ADAC4BF6056}" type="TxLink">
                  <a:rPr lang="en-GB" sz="2800" b="1">
                    <a:solidFill>
                      <a:sysClr val="windowText" lastClr="000000"/>
                    </a:solidFill>
                  </a:rPr>
                  <a:pPr algn="ctr"/>
                  <a:t>2017-18</a:t>
                </a:fld>
                <a:endParaRPr lang="en-GB" sz="2800" b="1">
                  <a:solidFill>
                    <a:sysClr val="windowText" lastClr="000000"/>
                  </a:solidFill>
                </a:endParaRPr>
              </a:p>
            </xdr:txBody>
          </xdr:sp>
          <xdr:sp macro="" textlink="$E$56">
            <xdr:nvSpPr>
              <xdr:cNvPr id="32" name="TextBox 31"/>
              <xdr:cNvSpPr txBox="1"/>
            </xdr:nvSpPr>
            <xdr:spPr bwMode="auto">
              <a:xfrm>
                <a:off x="2543175" y="4219575"/>
                <a:ext cx="2800350" cy="3333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fld id="{3FE86581-F106-42A2-AC0E-1B0FAA36E600}" type="TxLink">
                  <a:rPr lang="en-GB" sz="1400" b="1">
                    <a:solidFill>
                      <a:sysClr val="windowText" lastClr="000000"/>
                    </a:solidFill>
                  </a:rPr>
                  <a:pPr algn="ctr"/>
                  <a:t>176,405 supported students</a:t>
                </a:fld>
                <a:endParaRPr lang="en-GB" sz="1400" b="1">
                  <a:solidFill>
                    <a:sysClr val="windowText" lastClr="000000"/>
                  </a:solidFill>
                </a:endParaRPr>
              </a:p>
            </xdr:txBody>
          </xdr:sp>
          <xdr:sp macro="" textlink="$F$56">
            <xdr:nvSpPr>
              <xdr:cNvPr id="33" name="TextBox 32"/>
              <xdr:cNvSpPr txBox="1"/>
            </xdr:nvSpPr>
            <xdr:spPr bwMode="auto">
              <a:xfrm>
                <a:off x="2543175" y="4467225"/>
                <a:ext cx="280035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fld id="{D74697B4-451C-4C84-86D6-354FEEC9A885}" type="TxLink">
                  <a:rPr lang="en-GB" sz="1400" b="1">
                    <a:solidFill>
                      <a:sysClr val="windowText" lastClr="000000"/>
                    </a:solidFill>
                  </a:rPr>
                  <a:pPr algn="ctr"/>
                  <a:t>£965.4 million funding</a:t>
                </a:fld>
                <a:endParaRPr lang="en-GB" sz="1400" b="1">
                  <a:solidFill>
                    <a:sysClr val="windowText" lastClr="000000"/>
                  </a:solidFill>
                </a:endParaRPr>
              </a:p>
            </xdr:txBody>
          </xdr:sp>
          <xdr:sp macro="" textlink="$G$56">
            <xdr:nvSpPr>
              <xdr:cNvPr id="34" name="TextBox 33"/>
              <xdr:cNvSpPr txBox="1"/>
            </xdr:nvSpPr>
            <xdr:spPr bwMode="auto">
              <a:xfrm>
                <a:off x="2543175" y="4724400"/>
                <a:ext cx="2800350" cy="323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fld id="{3214D29F-550E-4C5B-8290-5A978FA2ACF5}" type="TxLink">
                  <a:rPr lang="en-GB" sz="1400" b="1">
                    <a:solidFill>
                      <a:sysClr val="windowText" lastClr="000000"/>
                    </a:solidFill>
                  </a:rPr>
                  <a:pPr algn="ctr"/>
                  <a:t>@ £5,470 avg per student</a:t>
                </a:fld>
                <a:endParaRPr lang="en-GB" sz="1400" b="1">
                  <a:solidFill>
                    <a:sysClr val="windowText" lastClr="000000"/>
                  </a:solidFill>
                </a:endParaRPr>
              </a:p>
            </xdr:txBody>
          </xdr:sp>
          <xdr:sp macro="" textlink="">
            <xdr:nvSpPr>
              <xdr:cNvPr id="35" name="TextBox 34"/>
              <xdr:cNvSpPr txBox="1"/>
            </xdr:nvSpPr>
            <xdr:spPr bwMode="auto">
              <a:xfrm>
                <a:off x="2543175" y="3838575"/>
                <a:ext cx="2800350" cy="457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US" sz="1000" i="1"/>
                  <a:t>Direct</a:t>
                </a:r>
                <a:r>
                  <a:rPr lang="en-US" sz="1000" i="1" baseline="0"/>
                  <a:t> support to students from SAAS </a:t>
                </a:r>
              </a:p>
              <a:p>
                <a:pPr algn="ctr"/>
                <a:r>
                  <a:rPr lang="en-US" sz="1000" i="1"/>
                  <a:t>excluding</a:t>
                </a:r>
                <a:r>
                  <a:rPr lang="en-US" sz="1000" i="1" baseline="0"/>
                  <a:t> Discretionary and Childcare Funds</a:t>
                </a:r>
                <a:endParaRPr lang="en-US" sz="1000" i="1"/>
              </a:p>
            </xdr:txBody>
          </xdr:sp>
        </xdr:grpSp>
      </xdr:grpSp>
      <xdr:sp macro="" textlink="$A$64">
        <xdr:nvSpPr>
          <xdr:cNvPr id="40" name="TextBox 39"/>
          <xdr:cNvSpPr txBox="1"/>
        </xdr:nvSpPr>
        <xdr:spPr bwMode="auto">
          <a:xfrm>
            <a:off x="2828925" y="7731974"/>
            <a:ext cx="4419602" cy="2595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fld id="{695F3AC5-AB87-4F6D-AC0F-2574A4C5148F}" type="TxLink">
              <a:rPr lang="en-GB" sz="1000" i="1"/>
              <a:pPr algn="r"/>
              <a:t>@ indicates the average amount of support per student or instances of support</a:t>
            </a:fld>
            <a:endParaRPr lang="en-GB" sz="1000" i="1"/>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2</xdr:row>
      <xdr:rowOff>190500</xdr:rowOff>
    </xdr:from>
    <xdr:to>
      <xdr:col>8</xdr:col>
      <xdr:colOff>704850</xdr:colOff>
      <xdr:row>22</xdr:row>
      <xdr:rowOff>123825</xdr:rowOff>
    </xdr:to>
    <xdr:grpSp>
      <xdr:nvGrpSpPr>
        <xdr:cNvPr id="16" name="Group 15"/>
        <xdr:cNvGrpSpPr/>
      </xdr:nvGrpSpPr>
      <xdr:grpSpPr>
        <a:xfrm>
          <a:off x="0" y="723900"/>
          <a:ext cx="7134225" cy="3933825"/>
          <a:chOff x="0" y="723900"/>
          <a:chExt cx="7134225" cy="3933825"/>
        </a:xfrm>
      </xdr:grpSpPr>
      <xdr:graphicFrame macro="">
        <xdr:nvGraphicFramePr>
          <xdr:cNvPr id="12" name="Chart 52"/>
          <xdr:cNvGraphicFramePr>
            <a:graphicFrameLocks/>
          </xdr:cNvGraphicFramePr>
        </xdr:nvGraphicFramePr>
        <xdr:xfrm>
          <a:off x="2216246" y="1876425"/>
          <a:ext cx="2566394" cy="2314245"/>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3" name="Chart 3"/>
          <xdr:cNvGraphicFramePr>
            <a:graphicFrameLocks/>
          </xdr:cNvGraphicFramePr>
        </xdr:nvGraphicFramePr>
        <xdr:xfrm>
          <a:off x="0" y="2037455"/>
          <a:ext cx="2227326" cy="2342783"/>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4" name="Chart 4"/>
          <xdr:cNvGraphicFramePr>
            <a:graphicFrameLocks/>
          </xdr:cNvGraphicFramePr>
        </xdr:nvGraphicFramePr>
        <xdr:xfrm>
          <a:off x="4906899" y="2051331"/>
          <a:ext cx="2227326" cy="2342783"/>
        </xdr:xfrm>
        <a:graphic>
          <a:graphicData uri="http://schemas.openxmlformats.org/drawingml/2006/chart">
            <c:chart xmlns:c="http://schemas.openxmlformats.org/drawingml/2006/chart" xmlns:r="http://schemas.openxmlformats.org/officeDocument/2006/relationships" r:id="rId3"/>
          </a:graphicData>
        </a:graphic>
      </xdr:graphicFrame>
      <xdr:sp macro="" textlink="">
        <xdr:nvSpPr>
          <xdr:cNvPr id="5" name="TextBox 4"/>
          <xdr:cNvSpPr txBox="1"/>
        </xdr:nvSpPr>
        <xdr:spPr bwMode="auto">
          <a:xfrm>
            <a:off x="752475" y="1676400"/>
            <a:ext cx="723900" cy="4857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GB" sz="1200" b="1"/>
              <a:t>Females by age</a:t>
            </a:r>
          </a:p>
        </xdr:txBody>
      </xdr:sp>
      <xdr:sp macro="" textlink="">
        <xdr:nvSpPr>
          <xdr:cNvPr id="6" name="TextBox 5"/>
          <xdr:cNvSpPr txBox="1"/>
        </xdr:nvSpPr>
        <xdr:spPr bwMode="auto">
          <a:xfrm>
            <a:off x="5657850" y="1685925"/>
            <a:ext cx="657225" cy="552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GB" sz="1200" b="1"/>
              <a:t>Males by age</a:t>
            </a:r>
          </a:p>
        </xdr:txBody>
      </xdr:sp>
      <xdr:sp macro="" textlink="">
        <xdr:nvSpPr>
          <xdr:cNvPr id="7" name="TextBox 6"/>
          <xdr:cNvSpPr txBox="1"/>
        </xdr:nvSpPr>
        <xdr:spPr bwMode="auto">
          <a:xfrm>
            <a:off x="2609850" y="1790700"/>
            <a:ext cx="676275"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endParaRPr lang="en-GB" sz="1200" b="1"/>
          </a:p>
        </xdr:txBody>
      </xdr:sp>
      <xdr:sp macro="" textlink="">
        <xdr:nvSpPr>
          <xdr:cNvPr id="8" name="TextBox 7"/>
          <xdr:cNvSpPr txBox="1"/>
        </xdr:nvSpPr>
        <xdr:spPr bwMode="auto">
          <a:xfrm>
            <a:off x="3771900" y="3333750"/>
            <a:ext cx="685800" cy="3714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endParaRPr lang="en-GB" sz="1200" b="1"/>
          </a:p>
        </xdr:txBody>
      </xdr:sp>
      <xdr:graphicFrame macro="">
        <xdr:nvGraphicFramePr>
          <xdr:cNvPr id="9" name="Chart 5"/>
          <xdr:cNvGraphicFramePr>
            <a:graphicFrameLocks/>
          </xdr:cNvGraphicFramePr>
        </xdr:nvGraphicFramePr>
        <xdr:xfrm>
          <a:off x="1605484" y="4075002"/>
          <a:ext cx="3911952" cy="582723"/>
        </xdr:xfrm>
        <a:graphic>
          <a:graphicData uri="http://schemas.openxmlformats.org/drawingml/2006/chart">
            <c:chart xmlns:c="http://schemas.openxmlformats.org/drawingml/2006/chart" xmlns:r="http://schemas.openxmlformats.org/officeDocument/2006/relationships" r:id="rId4"/>
          </a:graphicData>
        </a:graphic>
      </xdr:graphicFrame>
      <xdr:sp macro="" textlink="$A$38">
        <xdr:nvSpPr>
          <xdr:cNvPr id="10" name="TextBox 9"/>
          <xdr:cNvSpPr txBox="1"/>
        </xdr:nvSpPr>
        <xdr:spPr bwMode="auto">
          <a:xfrm>
            <a:off x="1104900" y="723900"/>
            <a:ext cx="1571625" cy="4857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fld id="{0D61E32C-F0F7-4DCF-8F2E-B405A7C1363F}" type="TxLink">
              <a:rPr lang="en-GB" sz="1200" i="1"/>
              <a:pPr/>
              <a:t>91.6% of supported students are female</a:t>
            </a:fld>
            <a:endParaRPr lang="en-GB" sz="1200" i="1"/>
          </a:p>
        </xdr:txBody>
      </xdr:sp>
      <xdr:sp macro="" textlink="$A$39">
        <xdr:nvSpPr>
          <xdr:cNvPr id="11" name="TextBox 10"/>
          <xdr:cNvSpPr txBox="1"/>
        </xdr:nvSpPr>
        <xdr:spPr bwMode="auto">
          <a:xfrm>
            <a:off x="4438650" y="733425"/>
            <a:ext cx="1571625" cy="4857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fld id="{CBDD3E65-13EF-4AE4-A795-D95516C5F7EF}" type="TxLink">
              <a:rPr lang="en-GB" sz="1200" i="1"/>
              <a:pPr algn="r"/>
              <a:t>8.4% of supported students are male</a:t>
            </a:fld>
            <a:endParaRPr lang="en-GB" sz="1200" i="1"/>
          </a:p>
        </xdr:txBody>
      </xdr:sp>
      <xdr:cxnSp macro="">
        <xdr:nvCxnSpPr>
          <xdr:cNvPr id="13" name="Elbow Connector 12"/>
          <xdr:cNvCxnSpPr>
            <a:stCxn id="7" idx="0"/>
            <a:endCxn id="5" idx="0"/>
          </xdr:cNvCxnSpPr>
        </xdr:nvCxnSpPr>
        <xdr:spPr bwMode="auto">
          <a:xfrm rot="16200000" flipV="1">
            <a:off x="1976438" y="814387"/>
            <a:ext cx="114300" cy="1838325"/>
          </a:xfrm>
          <a:prstGeom prst="bentConnector3">
            <a:avLst>
              <a:gd name="adj1" fmla="val 466667"/>
            </a:avLst>
          </a:prstGeom>
          <a:ln>
            <a:solidFill>
              <a:schemeClr val="bg1">
                <a:lumMod val="85000"/>
              </a:schemeClr>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 name="Elbow Connector 13"/>
          <xdr:cNvCxnSpPr>
            <a:stCxn id="8" idx="0"/>
            <a:endCxn id="6" idx="0"/>
          </xdr:cNvCxnSpPr>
        </xdr:nvCxnSpPr>
        <xdr:spPr bwMode="auto">
          <a:xfrm rot="5400000" flipH="1" flipV="1">
            <a:off x="4226719" y="1574007"/>
            <a:ext cx="1647825" cy="1871663"/>
          </a:xfrm>
          <a:prstGeom prst="bentConnector3">
            <a:avLst>
              <a:gd name="adj1" fmla="val 126590"/>
            </a:avLst>
          </a:prstGeom>
          <a:ln>
            <a:solidFill>
              <a:schemeClr val="bg1">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21.xml><?xml version="1.0" encoding="utf-8"?>
<xdr:wsDr xmlns:xdr="http://schemas.openxmlformats.org/drawingml/2006/spreadsheetDrawing" xmlns:a="http://schemas.openxmlformats.org/drawingml/2006/main">
  <xdr:twoCellAnchor editAs="absolute">
    <xdr:from>
      <xdr:col>0</xdr:col>
      <xdr:colOff>0</xdr:colOff>
      <xdr:row>3</xdr:row>
      <xdr:rowOff>0</xdr:rowOff>
    </xdr:from>
    <xdr:to>
      <xdr:col>8</xdr:col>
      <xdr:colOff>428625</xdr:colOff>
      <xdr:row>23</xdr:row>
      <xdr:rowOff>114300</xdr:rowOff>
    </xdr:to>
    <xdr:graphicFrame macro="">
      <xdr:nvGraphicFramePr>
        <xdr:cNvPr id="160974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0.0242</cdr:x>
      <cdr:y>0.90818</cdr:y>
    </cdr:from>
    <cdr:to>
      <cdr:x>0.25473</cdr:x>
      <cdr:y>0.97247</cdr:y>
    </cdr:to>
    <cdr:sp macro="" textlink="'Figure 6.1'!$A$36">
      <cdr:nvSpPr>
        <cdr:cNvPr id="2" name="TextBox 2"/>
        <cdr:cNvSpPr txBox="1"/>
      </cdr:nvSpPr>
      <cdr:spPr>
        <a:xfrm xmlns:a="http://schemas.openxmlformats.org/drawingml/2006/main">
          <a:off x="165944" y="3736979"/>
          <a:ext cx="1581009" cy="26456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r"/>
          <a:fld id="{DC50CF84-AFCF-4BF6-A51B-B979925CF33B}" type="TxLink">
            <a:rPr lang="en-GB" sz="1100" b="1"/>
            <a:pPr algn="r"/>
            <a:t>Amounts issued (£000s)</a:t>
          </a:fld>
          <a:endParaRPr lang="en-GB" sz="1100" b="1"/>
        </a:p>
      </cdr:txBody>
    </cdr:sp>
  </cdr:relSizeAnchor>
  <cdr:relSizeAnchor xmlns:cdr="http://schemas.openxmlformats.org/drawingml/2006/chartDrawing">
    <cdr:from>
      <cdr:x>0.0177</cdr:x>
      <cdr:y>0.85262</cdr:y>
    </cdr:from>
    <cdr:to>
      <cdr:x>0.23887</cdr:x>
      <cdr:y>0.91691</cdr:y>
    </cdr:to>
    <cdr:sp macro="" textlink="'Figure 6.1'!$A$35">
      <cdr:nvSpPr>
        <cdr:cNvPr id="3" name="TextBox 3"/>
        <cdr:cNvSpPr txBox="1"/>
      </cdr:nvSpPr>
      <cdr:spPr>
        <a:xfrm xmlns:a="http://schemas.openxmlformats.org/drawingml/2006/main">
          <a:off x="121387" y="3508361"/>
          <a:ext cx="1516783" cy="26454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r"/>
          <a:fld id="{E22D5910-8DE3-4BC6-9AAB-AFC3CF5E8A98}" type="TxLink">
            <a:rPr lang="en-GB" sz="1100" b="1"/>
            <a:pPr algn="r"/>
            <a:t>Instances of assistance</a:t>
          </a:fld>
          <a:endParaRPr lang="en-GB" sz="1100" b="1"/>
        </a:p>
      </cdr:txBody>
    </cdr:sp>
  </cdr:relSizeAnchor>
</c:userShapes>
</file>

<file path=xl/drawings/drawing23.xml><?xml version="1.0" encoding="utf-8"?>
<xdr:wsDr xmlns:xdr="http://schemas.openxmlformats.org/drawingml/2006/spreadsheetDrawing" xmlns:a="http://schemas.openxmlformats.org/drawingml/2006/main">
  <xdr:twoCellAnchor editAs="absolute">
    <xdr:from>
      <xdr:col>0</xdr:col>
      <xdr:colOff>0</xdr:colOff>
      <xdr:row>28</xdr:row>
      <xdr:rowOff>0</xdr:rowOff>
    </xdr:from>
    <xdr:to>
      <xdr:col>10</xdr:col>
      <xdr:colOff>428625</xdr:colOff>
      <xdr:row>48</xdr:row>
      <xdr:rowOff>114300</xdr:rowOff>
    </xdr:to>
    <xdr:graphicFrame macro="">
      <xdr:nvGraphicFramePr>
        <xdr:cNvPr id="335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editAs="absolute">
    <xdr:from>
      <xdr:col>0</xdr:col>
      <xdr:colOff>0</xdr:colOff>
      <xdr:row>40</xdr:row>
      <xdr:rowOff>57150</xdr:rowOff>
    </xdr:from>
    <xdr:to>
      <xdr:col>10</xdr:col>
      <xdr:colOff>438150</xdr:colOff>
      <xdr:row>60</xdr:row>
      <xdr:rowOff>171450</xdr:rowOff>
    </xdr:to>
    <xdr:graphicFrame macro="">
      <xdr:nvGraphicFramePr>
        <xdr:cNvPr id="1949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editAs="absolute">
    <xdr:from>
      <xdr:col>0</xdr:col>
      <xdr:colOff>0</xdr:colOff>
      <xdr:row>3</xdr:row>
      <xdr:rowOff>0</xdr:rowOff>
    </xdr:from>
    <xdr:to>
      <xdr:col>11</xdr:col>
      <xdr:colOff>428625</xdr:colOff>
      <xdr:row>23</xdr:row>
      <xdr:rowOff>114300</xdr:rowOff>
    </xdr:to>
    <xdr:graphicFrame macro="">
      <xdr:nvGraphicFramePr>
        <xdr:cNvPr id="14656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0.91111</cdr:x>
      <cdr:y>0.0301</cdr:y>
    </cdr:from>
    <cdr:to>
      <cdr:x>0.91111</cdr:x>
      <cdr:y>0.93056</cdr:y>
    </cdr:to>
    <cdr:cxnSp macro="">
      <cdr:nvCxnSpPr>
        <cdr:cNvPr id="3" name="Straight Connector 2"/>
        <cdr:cNvCxnSpPr/>
      </cdr:nvCxnSpPr>
      <cdr:spPr>
        <a:xfrm xmlns:a="http://schemas.openxmlformats.org/drawingml/2006/main">
          <a:off x="6248423" y="123837"/>
          <a:ext cx="0" cy="3705213"/>
        </a:xfrm>
        <a:prstGeom xmlns:a="http://schemas.openxmlformats.org/drawingml/2006/main" prst="line">
          <a:avLst/>
        </a:prstGeom>
        <a:ln xmlns:a="http://schemas.openxmlformats.org/drawingml/2006/main">
          <a:solidFill>
            <a:schemeClr val="bg1">
              <a:lumMod val="75000"/>
            </a:schemeClr>
          </a:solidFill>
          <a:prstDash val="sys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xml><?xml version="1.0" encoding="utf-8"?>
<xdr:wsDr xmlns:xdr="http://schemas.openxmlformats.org/drawingml/2006/spreadsheetDrawing" xmlns:a="http://schemas.openxmlformats.org/drawingml/2006/main">
  <xdr:twoCellAnchor>
    <xdr:from>
      <xdr:col>0</xdr:col>
      <xdr:colOff>0</xdr:colOff>
      <xdr:row>3</xdr:row>
      <xdr:rowOff>0</xdr:rowOff>
    </xdr:from>
    <xdr:to>
      <xdr:col>8</xdr:col>
      <xdr:colOff>428625</xdr:colOff>
      <xdr:row>23</xdr:row>
      <xdr:rowOff>114300</xdr:rowOff>
    </xdr:to>
    <xdr:graphicFrame macro="">
      <xdr:nvGraphicFramePr>
        <xdr:cNvPr id="32471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xdr:row>
      <xdr:rowOff>0</xdr:rowOff>
    </xdr:from>
    <xdr:to>
      <xdr:col>8</xdr:col>
      <xdr:colOff>428625</xdr:colOff>
      <xdr:row>23</xdr:row>
      <xdr:rowOff>114300</xdr:rowOff>
    </xdr:to>
    <xdr:graphicFrame macro="">
      <xdr:nvGraphicFramePr>
        <xdr:cNvPr id="33290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180975</xdr:colOff>
      <xdr:row>4</xdr:row>
      <xdr:rowOff>95250</xdr:rowOff>
    </xdr:from>
    <xdr:to>
      <xdr:col>8</xdr:col>
      <xdr:colOff>190500</xdr:colOff>
      <xdr:row>16</xdr:row>
      <xdr:rowOff>19050</xdr:rowOff>
    </xdr:to>
    <xdr:grpSp>
      <xdr:nvGrpSpPr>
        <xdr:cNvPr id="8" name="Group 7"/>
        <xdr:cNvGrpSpPr/>
      </xdr:nvGrpSpPr>
      <xdr:grpSpPr>
        <a:xfrm>
          <a:off x="180975" y="1028700"/>
          <a:ext cx="6438900" cy="2324100"/>
          <a:chOff x="142875" y="1028700"/>
          <a:chExt cx="6438900" cy="2324100"/>
        </a:xfrm>
      </xdr:grpSpPr>
      <xdr:grpSp>
        <xdr:nvGrpSpPr>
          <xdr:cNvPr id="2089075" name="Group 2"/>
          <xdr:cNvGrpSpPr>
            <a:grpSpLocks/>
          </xdr:cNvGrpSpPr>
        </xdr:nvGrpSpPr>
        <xdr:grpSpPr bwMode="auto">
          <a:xfrm>
            <a:off x="2762250" y="1038226"/>
            <a:ext cx="647700" cy="648000"/>
            <a:chOff x="2762250" y="1038225"/>
            <a:chExt cx="647700" cy="648000"/>
          </a:xfrm>
        </xdr:grpSpPr>
        <xdr:sp macro="" textlink="">
          <xdr:nvSpPr>
            <xdr:cNvPr id="265" name="Oval 264"/>
            <xdr:cNvSpPr/>
          </xdr:nvSpPr>
          <xdr:spPr bwMode="auto">
            <a:xfrm>
              <a:off x="2762250" y="1038224"/>
              <a:ext cx="647700" cy="647700"/>
            </a:xfrm>
            <a:prstGeom prst="ellipse">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grpSp>
          <xdr:nvGrpSpPr>
            <xdr:cNvPr id="57" name="Group 265"/>
            <xdr:cNvGrpSpPr/>
          </xdr:nvGrpSpPr>
          <xdr:grpSpPr bwMode="auto">
            <a:xfrm>
              <a:off x="2828925" y="1209674"/>
              <a:ext cx="514350" cy="295275"/>
              <a:chOff x="3337891" y="9682370"/>
              <a:chExt cx="3838161" cy="2554356"/>
            </a:xfrm>
            <a:solidFill>
              <a:srgbClr val="10145E"/>
            </a:solidFill>
          </xdr:grpSpPr>
          <xdr:sp macro="" textlink="">
            <xdr:nvSpPr>
              <xdr:cNvPr id="267" name="Freeform 266"/>
              <xdr:cNvSpPr/>
            </xdr:nvSpPr>
            <xdr:spPr>
              <a:xfrm>
                <a:off x="3764353" y="9682370"/>
                <a:ext cx="2985236" cy="988783"/>
              </a:xfrm>
              <a:custGeom>
                <a:avLst/>
                <a:gdLst>
                  <a:gd name="connsiteX0" fmla="*/ 0 w 2932043"/>
                  <a:gd name="connsiteY0" fmla="*/ 8282 h 985630"/>
                  <a:gd name="connsiteX1" fmla="*/ 1466022 w 2932043"/>
                  <a:gd name="connsiteY1" fmla="*/ 985630 h 985630"/>
                  <a:gd name="connsiteX2" fmla="*/ 2932043 w 2932043"/>
                  <a:gd name="connsiteY2" fmla="*/ 0 h 985630"/>
                  <a:gd name="connsiteX3" fmla="*/ 0 w 2932043"/>
                  <a:gd name="connsiteY3" fmla="*/ 8282 h 985630"/>
                </a:gdLst>
                <a:ahLst/>
                <a:cxnLst>
                  <a:cxn ang="0">
                    <a:pos x="connsiteX0" y="connsiteY0"/>
                  </a:cxn>
                  <a:cxn ang="0">
                    <a:pos x="connsiteX1" y="connsiteY1"/>
                  </a:cxn>
                  <a:cxn ang="0">
                    <a:pos x="connsiteX2" y="connsiteY2"/>
                  </a:cxn>
                  <a:cxn ang="0">
                    <a:pos x="connsiteX3" y="connsiteY3"/>
                  </a:cxn>
                </a:cxnLst>
                <a:rect l="l" t="t" r="r" b="b"/>
                <a:pathLst>
                  <a:path w="2932043" h="985630">
                    <a:moveTo>
                      <a:pt x="0" y="8282"/>
                    </a:moveTo>
                    <a:lnTo>
                      <a:pt x="1466022" y="985630"/>
                    </a:lnTo>
                    <a:lnTo>
                      <a:pt x="2932043" y="0"/>
                    </a:lnTo>
                    <a:lnTo>
                      <a:pt x="0" y="8282"/>
                    </a:lnTo>
                    <a:close/>
                  </a:path>
                </a:pathLst>
              </a:cu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68" name="Freeform 267"/>
              <xdr:cNvSpPr/>
            </xdr:nvSpPr>
            <xdr:spPr>
              <a:xfrm rot="10800000">
                <a:off x="3764353" y="11247943"/>
                <a:ext cx="2985236" cy="988783"/>
              </a:xfrm>
              <a:custGeom>
                <a:avLst/>
                <a:gdLst>
                  <a:gd name="connsiteX0" fmla="*/ 0 w 2932043"/>
                  <a:gd name="connsiteY0" fmla="*/ 8282 h 985630"/>
                  <a:gd name="connsiteX1" fmla="*/ 1466022 w 2932043"/>
                  <a:gd name="connsiteY1" fmla="*/ 985630 h 985630"/>
                  <a:gd name="connsiteX2" fmla="*/ 2932043 w 2932043"/>
                  <a:gd name="connsiteY2" fmla="*/ 0 h 985630"/>
                  <a:gd name="connsiteX3" fmla="*/ 0 w 2932043"/>
                  <a:gd name="connsiteY3" fmla="*/ 8282 h 985630"/>
                </a:gdLst>
                <a:ahLst/>
                <a:cxnLst>
                  <a:cxn ang="0">
                    <a:pos x="connsiteX0" y="connsiteY0"/>
                  </a:cxn>
                  <a:cxn ang="0">
                    <a:pos x="connsiteX1" y="connsiteY1"/>
                  </a:cxn>
                  <a:cxn ang="0">
                    <a:pos x="connsiteX2" y="connsiteY2"/>
                  </a:cxn>
                  <a:cxn ang="0">
                    <a:pos x="connsiteX3" y="connsiteY3"/>
                  </a:cxn>
                </a:cxnLst>
                <a:rect l="l" t="t" r="r" b="b"/>
                <a:pathLst>
                  <a:path w="2932043" h="985630">
                    <a:moveTo>
                      <a:pt x="0" y="8282"/>
                    </a:moveTo>
                    <a:lnTo>
                      <a:pt x="1466022" y="985630"/>
                    </a:lnTo>
                    <a:lnTo>
                      <a:pt x="2932043" y="0"/>
                    </a:lnTo>
                    <a:lnTo>
                      <a:pt x="0" y="8282"/>
                    </a:lnTo>
                    <a:close/>
                  </a:path>
                </a:pathLst>
              </a:cu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69" name="Freeform 268"/>
              <xdr:cNvSpPr/>
            </xdr:nvSpPr>
            <xdr:spPr>
              <a:xfrm>
                <a:off x="3337891" y="10011964"/>
                <a:ext cx="1421541" cy="1895167"/>
              </a:xfrm>
              <a:custGeom>
                <a:avLst/>
                <a:gdLst>
                  <a:gd name="connsiteX0" fmla="*/ 0 w 1457739"/>
                  <a:gd name="connsiteY0" fmla="*/ 1946413 h 1946413"/>
                  <a:gd name="connsiteX1" fmla="*/ 0 w 1457739"/>
                  <a:gd name="connsiteY1" fmla="*/ 0 h 1946413"/>
                  <a:gd name="connsiteX2" fmla="*/ 1457739 w 1457739"/>
                  <a:gd name="connsiteY2" fmla="*/ 969065 h 1946413"/>
                  <a:gd name="connsiteX3" fmla="*/ 0 w 1457739"/>
                  <a:gd name="connsiteY3" fmla="*/ 1946413 h 1946413"/>
                </a:gdLst>
                <a:ahLst/>
                <a:cxnLst>
                  <a:cxn ang="0">
                    <a:pos x="connsiteX0" y="connsiteY0"/>
                  </a:cxn>
                  <a:cxn ang="0">
                    <a:pos x="connsiteX1" y="connsiteY1"/>
                  </a:cxn>
                  <a:cxn ang="0">
                    <a:pos x="connsiteX2" y="connsiteY2"/>
                  </a:cxn>
                  <a:cxn ang="0">
                    <a:pos x="connsiteX3" y="connsiteY3"/>
                  </a:cxn>
                </a:cxnLst>
                <a:rect l="l" t="t" r="r" b="b"/>
                <a:pathLst>
                  <a:path w="1457739" h="1946413">
                    <a:moveTo>
                      <a:pt x="0" y="1946413"/>
                    </a:moveTo>
                    <a:lnTo>
                      <a:pt x="0" y="0"/>
                    </a:lnTo>
                    <a:lnTo>
                      <a:pt x="1457739" y="969065"/>
                    </a:lnTo>
                    <a:lnTo>
                      <a:pt x="0" y="1946413"/>
                    </a:lnTo>
                    <a:close/>
                  </a:path>
                </a:pathLst>
              </a:cu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70" name="Freeform 269"/>
              <xdr:cNvSpPr/>
            </xdr:nvSpPr>
            <xdr:spPr>
              <a:xfrm rot="10800000">
                <a:off x="5754511" y="10011964"/>
                <a:ext cx="1421541" cy="1895167"/>
              </a:xfrm>
              <a:custGeom>
                <a:avLst/>
                <a:gdLst>
                  <a:gd name="connsiteX0" fmla="*/ 0 w 1457739"/>
                  <a:gd name="connsiteY0" fmla="*/ 1946413 h 1946413"/>
                  <a:gd name="connsiteX1" fmla="*/ 0 w 1457739"/>
                  <a:gd name="connsiteY1" fmla="*/ 0 h 1946413"/>
                  <a:gd name="connsiteX2" fmla="*/ 1457739 w 1457739"/>
                  <a:gd name="connsiteY2" fmla="*/ 969065 h 1946413"/>
                  <a:gd name="connsiteX3" fmla="*/ 0 w 1457739"/>
                  <a:gd name="connsiteY3" fmla="*/ 1946413 h 1946413"/>
                </a:gdLst>
                <a:ahLst/>
                <a:cxnLst>
                  <a:cxn ang="0">
                    <a:pos x="connsiteX0" y="connsiteY0"/>
                  </a:cxn>
                  <a:cxn ang="0">
                    <a:pos x="connsiteX1" y="connsiteY1"/>
                  </a:cxn>
                  <a:cxn ang="0">
                    <a:pos x="connsiteX2" y="connsiteY2"/>
                  </a:cxn>
                  <a:cxn ang="0">
                    <a:pos x="connsiteX3" y="connsiteY3"/>
                  </a:cxn>
                </a:cxnLst>
                <a:rect l="l" t="t" r="r" b="b"/>
                <a:pathLst>
                  <a:path w="1457739" h="1946413">
                    <a:moveTo>
                      <a:pt x="0" y="1946413"/>
                    </a:moveTo>
                    <a:lnTo>
                      <a:pt x="0" y="0"/>
                    </a:lnTo>
                    <a:lnTo>
                      <a:pt x="1457739" y="969065"/>
                    </a:lnTo>
                    <a:lnTo>
                      <a:pt x="0" y="1946413"/>
                    </a:lnTo>
                    <a:close/>
                  </a:path>
                </a:pathLst>
              </a:cu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grpSp>
      </xdr:grpSp>
      <xdr:grpSp>
        <xdr:nvGrpSpPr>
          <xdr:cNvPr id="3" name="Group 2"/>
          <xdr:cNvGrpSpPr/>
        </xdr:nvGrpSpPr>
        <xdr:grpSpPr>
          <a:xfrm>
            <a:off x="5534026" y="1028700"/>
            <a:ext cx="657224" cy="657224"/>
            <a:chOff x="5600701" y="1028700"/>
            <a:chExt cx="657224" cy="657224"/>
          </a:xfrm>
        </xdr:grpSpPr>
        <xdr:sp macro="" textlink="">
          <xdr:nvSpPr>
            <xdr:cNvPr id="250" name="Oval 249"/>
            <xdr:cNvSpPr/>
          </xdr:nvSpPr>
          <xdr:spPr bwMode="auto">
            <a:xfrm>
              <a:off x="5600701" y="1028700"/>
              <a:ext cx="657224" cy="657224"/>
            </a:xfrm>
            <a:prstGeom prst="ellipse">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grpSp>
          <xdr:nvGrpSpPr>
            <xdr:cNvPr id="56" name="Group 250"/>
            <xdr:cNvGrpSpPr/>
          </xdr:nvGrpSpPr>
          <xdr:grpSpPr bwMode="auto">
            <a:xfrm>
              <a:off x="5681031" y="1109027"/>
              <a:ext cx="474662" cy="460057"/>
              <a:chOff x="3305465" y="8888451"/>
              <a:chExt cx="4007876" cy="4042867"/>
            </a:xfrm>
            <a:solidFill>
              <a:srgbClr val="10145E"/>
            </a:solidFill>
          </xdr:grpSpPr>
          <xdr:sp macro="" textlink="">
            <xdr:nvSpPr>
              <xdr:cNvPr id="252" name="Freeform 251"/>
              <xdr:cNvSpPr/>
            </xdr:nvSpPr>
            <xdr:spPr>
              <a:xfrm>
                <a:off x="3552104" y="10749453"/>
                <a:ext cx="616596" cy="898415"/>
              </a:xfrm>
              <a:custGeom>
                <a:avLst/>
                <a:gdLst>
                  <a:gd name="connsiteX0" fmla="*/ 259404 w 599872"/>
                  <a:gd name="connsiteY0" fmla="*/ 0 h 839011"/>
                  <a:gd name="connsiteX1" fmla="*/ 121596 w 599872"/>
                  <a:gd name="connsiteY1" fmla="*/ 4053 h 839011"/>
                  <a:gd name="connsiteX2" fmla="*/ 93223 w 599872"/>
                  <a:gd name="connsiteY2" fmla="*/ 40532 h 839011"/>
                  <a:gd name="connsiteX3" fmla="*/ 72957 w 599872"/>
                  <a:gd name="connsiteY3" fmla="*/ 97277 h 839011"/>
                  <a:gd name="connsiteX4" fmla="*/ 93223 w 599872"/>
                  <a:gd name="connsiteY4" fmla="*/ 137809 h 839011"/>
                  <a:gd name="connsiteX5" fmla="*/ 60798 w 599872"/>
                  <a:gd name="connsiteY5" fmla="*/ 145915 h 839011"/>
                  <a:gd name="connsiteX6" fmla="*/ 28372 w 599872"/>
                  <a:gd name="connsiteY6" fmla="*/ 97277 h 839011"/>
                  <a:gd name="connsiteX7" fmla="*/ 0 w 599872"/>
                  <a:gd name="connsiteY7" fmla="*/ 129702 h 839011"/>
                  <a:gd name="connsiteX8" fmla="*/ 68904 w 599872"/>
                  <a:gd name="connsiteY8" fmla="*/ 154022 h 839011"/>
                  <a:gd name="connsiteX9" fmla="*/ 44585 w 599872"/>
                  <a:gd name="connsiteY9" fmla="*/ 202660 h 839011"/>
                  <a:gd name="connsiteX10" fmla="*/ 36479 w 599872"/>
                  <a:gd name="connsiteY10" fmla="*/ 235085 h 839011"/>
                  <a:gd name="connsiteX11" fmla="*/ 97276 w 599872"/>
                  <a:gd name="connsiteY11" fmla="*/ 206713 h 839011"/>
                  <a:gd name="connsiteX12" fmla="*/ 85117 w 599872"/>
                  <a:gd name="connsiteY12" fmla="*/ 255351 h 839011"/>
                  <a:gd name="connsiteX13" fmla="*/ 85117 w 599872"/>
                  <a:gd name="connsiteY13" fmla="*/ 255351 h 839011"/>
                  <a:gd name="connsiteX14" fmla="*/ 28372 w 599872"/>
                  <a:gd name="connsiteY14" fmla="*/ 275617 h 839011"/>
                  <a:gd name="connsiteX15" fmla="*/ 8106 w 599872"/>
                  <a:gd name="connsiteY15" fmla="*/ 291830 h 839011"/>
                  <a:gd name="connsiteX16" fmla="*/ 60798 w 599872"/>
                  <a:gd name="connsiteY16" fmla="*/ 299936 h 839011"/>
                  <a:gd name="connsiteX17" fmla="*/ 85117 w 599872"/>
                  <a:gd name="connsiteY17" fmla="*/ 271564 h 839011"/>
                  <a:gd name="connsiteX18" fmla="*/ 72957 w 599872"/>
                  <a:gd name="connsiteY18" fmla="*/ 312096 h 839011"/>
                  <a:gd name="connsiteX19" fmla="*/ 72957 w 599872"/>
                  <a:gd name="connsiteY19" fmla="*/ 312096 h 839011"/>
                  <a:gd name="connsiteX20" fmla="*/ 72957 w 599872"/>
                  <a:gd name="connsiteY20" fmla="*/ 312096 h 839011"/>
                  <a:gd name="connsiteX21" fmla="*/ 109436 w 599872"/>
                  <a:gd name="connsiteY21" fmla="*/ 320202 h 839011"/>
                  <a:gd name="connsiteX22" fmla="*/ 109436 w 599872"/>
                  <a:gd name="connsiteY22" fmla="*/ 283724 h 839011"/>
                  <a:gd name="connsiteX23" fmla="*/ 113489 w 599872"/>
                  <a:gd name="connsiteY23" fmla="*/ 251298 h 839011"/>
                  <a:gd name="connsiteX24" fmla="*/ 113489 w 599872"/>
                  <a:gd name="connsiteY24" fmla="*/ 251298 h 839011"/>
                  <a:gd name="connsiteX25" fmla="*/ 145915 w 599872"/>
                  <a:gd name="connsiteY25" fmla="*/ 303990 h 839011"/>
                  <a:gd name="connsiteX26" fmla="*/ 121596 w 599872"/>
                  <a:gd name="connsiteY26" fmla="*/ 360734 h 839011"/>
                  <a:gd name="connsiteX27" fmla="*/ 125649 w 599872"/>
                  <a:gd name="connsiteY27" fmla="*/ 397213 h 839011"/>
                  <a:gd name="connsiteX28" fmla="*/ 170234 w 599872"/>
                  <a:gd name="connsiteY28" fmla="*/ 385053 h 839011"/>
                  <a:gd name="connsiteX29" fmla="*/ 243191 w 599872"/>
                  <a:gd name="connsiteY29" fmla="*/ 364788 h 839011"/>
                  <a:gd name="connsiteX30" fmla="*/ 226979 w 599872"/>
                  <a:gd name="connsiteY30" fmla="*/ 401266 h 839011"/>
                  <a:gd name="connsiteX31" fmla="*/ 247244 w 599872"/>
                  <a:gd name="connsiteY31" fmla="*/ 441798 h 839011"/>
                  <a:gd name="connsiteX32" fmla="*/ 275617 w 599872"/>
                  <a:gd name="connsiteY32" fmla="*/ 437745 h 839011"/>
                  <a:gd name="connsiteX33" fmla="*/ 275617 w 599872"/>
                  <a:gd name="connsiteY33" fmla="*/ 437745 h 839011"/>
                  <a:gd name="connsiteX34" fmla="*/ 267510 w 599872"/>
                  <a:gd name="connsiteY34" fmla="*/ 510702 h 839011"/>
                  <a:gd name="connsiteX35" fmla="*/ 251298 w 599872"/>
                  <a:gd name="connsiteY35" fmla="*/ 526915 h 839011"/>
                  <a:gd name="connsiteX36" fmla="*/ 198606 w 599872"/>
                  <a:gd name="connsiteY36" fmla="*/ 526915 h 839011"/>
                  <a:gd name="connsiteX37" fmla="*/ 198606 w 599872"/>
                  <a:gd name="connsiteY37" fmla="*/ 526915 h 839011"/>
                  <a:gd name="connsiteX38" fmla="*/ 170234 w 599872"/>
                  <a:gd name="connsiteY38" fmla="*/ 555288 h 839011"/>
                  <a:gd name="connsiteX39" fmla="*/ 158074 w 599872"/>
                  <a:gd name="connsiteY39" fmla="*/ 571500 h 839011"/>
                  <a:gd name="connsiteX40" fmla="*/ 190500 w 599872"/>
                  <a:gd name="connsiteY40" fmla="*/ 587713 h 839011"/>
                  <a:gd name="connsiteX41" fmla="*/ 190500 w 599872"/>
                  <a:gd name="connsiteY41" fmla="*/ 620139 h 839011"/>
                  <a:gd name="connsiteX42" fmla="*/ 158074 w 599872"/>
                  <a:gd name="connsiteY42" fmla="*/ 644458 h 839011"/>
                  <a:gd name="connsiteX43" fmla="*/ 121596 w 599872"/>
                  <a:gd name="connsiteY43" fmla="*/ 664724 h 839011"/>
                  <a:gd name="connsiteX44" fmla="*/ 121596 w 599872"/>
                  <a:gd name="connsiteY44" fmla="*/ 664724 h 839011"/>
                  <a:gd name="connsiteX45" fmla="*/ 162127 w 599872"/>
                  <a:gd name="connsiteY45" fmla="*/ 684990 h 839011"/>
                  <a:gd name="connsiteX46" fmla="*/ 206713 w 599872"/>
                  <a:gd name="connsiteY46" fmla="*/ 693096 h 839011"/>
                  <a:gd name="connsiteX47" fmla="*/ 235085 w 599872"/>
                  <a:gd name="connsiteY47" fmla="*/ 705256 h 839011"/>
                  <a:gd name="connsiteX48" fmla="*/ 283723 w 599872"/>
                  <a:gd name="connsiteY48" fmla="*/ 693096 h 839011"/>
                  <a:gd name="connsiteX49" fmla="*/ 263457 w 599872"/>
                  <a:gd name="connsiteY49" fmla="*/ 721468 h 839011"/>
                  <a:gd name="connsiteX50" fmla="*/ 198606 w 599872"/>
                  <a:gd name="connsiteY50" fmla="*/ 737681 h 839011"/>
                  <a:gd name="connsiteX51" fmla="*/ 158074 w 599872"/>
                  <a:gd name="connsiteY51" fmla="*/ 757947 h 839011"/>
                  <a:gd name="connsiteX52" fmla="*/ 93223 w 599872"/>
                  <a:gd name="connsiteY52" fmla="*/ 839011 h 839011"/>
                  <a:gd name="connsiteX53" fmla="*/ 162127 w 599872"/>
                  <a:gd name="connsiteY53" fmla="*/ 814692 h 839011"/>
                  <a:gd name="connsiteX54" fmla="*/ 202659 w 599872"/>
                  <a:gd name="connsiteY54" fmla="*/ 814692 h 839011"/>
                  <a:gd name="connsiteX55" fmla="*/ 206713 w 599872"/>
                  <a:gd name="connsiteY55" fmla="*/ 826851 h 839011"/>
                  <a:gd name="connsiteX56" fmla="*/ 239138 w 599872"/>
                  <a:gd name="connsiteY56" fmla="*/ 790373 h 839011"/>
                  <a:gd name="connsiteX57" fmla="*/ 263457 w 599872"/>
                  <a:gd name="connsiteY57" fmla="*/ 782266 h 839011"/>
                  <a:gd name="connsiteX58" fmla="*/ 303989 w 599872"/>
                  <a:gd name="connsiteY58" fmla="*/ 794426 h 839011"/>
                  <a:gd name="connsiteX59" fmla="*/ 360734 w 599872"/>
                  <a:gd name="connsiteY59" fmla="*/ 778213 h 839011"/>
                  <a:gd name="connsiteX60" fmla="*/ 409372 w 599872"/>
                  <a:gd name="connsiteY60" fmla="*/ 778213 h 839011"/>
                  <a:gd name="connsiteX61" fmla="*/ 462064 w 599872"/>
                  <a:gd name="connsiteY61" fmla="*/ 762000 h 839011"/>
                  <a:gd name="connsiteX62" fmla="*/ 478276 w 599872"/>
                  <a:gd name="connsiteY62" fmla="*/ 770107 h 839011"/>
                  <a:gd name="connsiteX63" fmla="*/ 530968 w 599872"/>
                  <a:gd name="connsiteY63" fmla="*/ 757947 h 839011"/>
                  <a:gd name="connsiteX64" fmla="*/ 591766 w 599872"/>
                  <a:gd name="connsiteY64" fmla="*/ 721468 h 839011"/>
                  <a:gd name="connsiteX65" fmla="*/ 530968 w 599872"/>
                  <a:gd name="connsiteY65" fmla="*/ 705256 h 839011"/>
                  <a:gd name="connsiteX66" fmla="*/ 579606 w 599872"/>
                  <a:gd name="connsiteY66" fmla="*/ 672830 h 839011"/>
                  <a:gd name="connsiteX67" fmla="*/ 599872 w 599872"/>
                  <a:gd name="connsiteY67" fmla="*/ 603926 h 839011"/>
                  <a:gd name="connsiteX68" fmla="*/ 567447 w 599872"/>
                  <a:gd name="connsiteY68" fmla="*/ 559341 h 839011"/>
                  <a:gd name="connsiteX69" fmla="*/ 539074 w 599872"/>
                  <a:gd name="connsiteY69" fmla="*/ 555288 h 839011"/>
                  <a:gd name="connsiteX70" fmla="*/ 498542 w 599872"/>
                  <a:gd name="connsiteY70" fmla="*/ 567447 h 839011"/>
                  <a:gd name="connsiteX71" fmla="*/ 498542 w 599872"/>
                  <a:gd name="connsiteY71" fmla="*/ 567447 h 839011"/>
                  <a:gd name="connsiteX72" fmla="*/ 510702 w 599872"/>
                  <a:gd name="connsiteY72" fmla="*/ 514756 h 839011"/>
                  <a:gd name="connsiteX73" fmla="*/ 490436 w 599872"/>
                  <a:gd name="connsiteY73" fmla="*/ 490436 h 839011"/>
                  <a:gd name="connsiteX74" fmla="*/ 474223 w 599872"/>
                  <a:gd name="connsiteY74" fmla="*/ 449905 h 839011"/>
                  <a:gd name="connsiteX75" fmla="*/ 449904 w 599872"/>
                  <a:gd name="connsiteY75" fmla="*/ 409373 h 839011"/>
                  <a:gd name="connsiteX76" fmla="*/ 397213 w 599872"/>
                  <a:gd name="connsiteY76" fmla="*/ 381000 h 839011"/>
                  <a:gd name="connsiteX77" fmla="*/ 381000 w 599872"/>
                  <a:gd name="connsiteY77" fmla="*/ 356681 h 839011"/>
                  <a:gd name="connsiteX78" fmla="*/ 360734 w 599872"/>
                  <a:gd name="connsiteY78" fmla="*/ 308043 h 839011"/>
                  <a:gd name="connsiteX79" fmla="*/ 332361 w 599872"/>
                  <a:gd name="connsiteY79" fmla="*/ 271564 h 839011"/>
                  <a:gd name="connsiteX80" fmla="*/ 295883 w 599872"/>
                  <a:gd name="connsiteY80" fmla="*/ 259405 h 839011"/>
                  <a:gd name="connsiteX81" fmla="*/ 263457 w 599872"/>
                  <a:gd name="connsiteY81" fmla="*/ 251298 h 839011"/>
                  <a:gd name="connsiteX82" fmla="*/ 283723 w 599872"/>
                  <a:gd name="connsiteY82" fmla="*/ 235085 h 839011"/>
                  <a:gd name="connsiteX83" fmla="*/ 267510 w 599872"/>
                  <a:gd name="connsiteY83" fmla="*/ 222926 h 839011"/>
                  <a:gd name="connsiteX84" fmla="*/ 303989 w 599872"/>
                  <a:gd name="connsiteY84" fmla="*/ 198607 h 839011"/>
                  <a:gd name="connsiteX85" fmla="*/ 316149 w 599872"/>
                  <a:gd name="connsiteY85" fmla="*/ 154022 h 839011"/>
                  <a:gd name="connsiteX86" fmla="*/ 316149 w 599872"/>
                  <a:gd name="connsiteY86" fmla="*/ 154022 h 839011"/>
                  <a:gd name="connsiteX87" fmla="*/ 344521 w 599872"/>
                  <a:gd name="connsiteY87" fmla="*/ 93224 h 839011"/>
                  <a:gd name="connsiteX88" fmla="*/ 295883 w 599872"/>
                  <a:gd name="connsiteY88" fmla="*/ 93224 h 839011"/>
                  <a:gd name="connsiteX89" fmla="*/ 271564 w 599872"/>
                  <a:gd name="connsiteY89" fmla="*/ 89171 h 839011"/>
                  <a:gd name="connsiteX90" fmla="*/ 255351 w 599872"/>
                  <a:gd name="connsiteY90" fmla="*/ 97277 h 839011"/>
                  <a:gd name="connsiteX91" fmla="*/ 214819 w 599872"/>
                  <a:gd name="connsiteY91" fmla="*/ 93224 h 839011"/>
                  <a:gd name="connsiteX92" fmla="*/ 190500 w 599872"/>
                  <a:gd name="connsiteY92" fmla="*/ 105383 h 839011"/>
                  <a:gd name="connsiteX93" fmla="*/ 190500 w 599872"/>
                  <a:gd name="connsiteY93" fmla="*/ 105383 h 839011"/>
                  <a:gd name="connsiteX94" fmla="*/ 231032 w 599872"/>
                  <a:gd name="connsiteY94" fmla="*/ 52692 h 839011"/>
                  <a:gd name="connsiteX95" fmla="*/ 259404 w 599872"/>
                  <a:gd name="connsiteY95" fmla="*/ 0 h 83901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Lst>
                <a:rect l="l" t="t" r="r" b="b"/>
                <a:pathLst>
                  <a:path w="599872" h="839011">
                    <a:moveTo>
                      <a:pt x="259404" y="0"/>
                    </a:moveTo>
                    <a:lnTo>
                      <a:pt x="121596" y="4053"/>
                    </a:lnTo>
                    <a:lnTo>
                      <a:pt x="93223" y="40532"/>
                    </a:lnTo>
                    <a:lnTo>
                      <a:pt x="72957" y="97277"/>
                    </a:lnTo>
                    <a:lnTo>
                      <a:pt x="93223" y="137809"/>
                    </a:lnTo>
                    <a:lnTo>
                      <a:pt x="60798" y="145915"/>
                    </a:lnTo>
                    <a:lnTo>
                      <a:pt x="28372" y="97277"/>
                    </a:lnTo>
                    <a:lnTo>
                      <a:pt x="0" y="129702"/>
                    </a:lnTo>
                    <a:lnTo>
                      <a:pt x="68904" y="154022"/>
                    </a:lnTo>
                    <a:lnTo>
                      <a:pt x="44585" y="202660"/>
                    </a:lnTo>
                    <a:lnTo>
                      <a:pt x="36479" y="235085"/>
                    </a:lnTo>
                    <a:lnTo>
                      <a:pt x="97276" y="206713"/>
                    </a:lnTo>
                    <a:lnTo>
                      <a:pt x="85117" y="255351"/>
                    </a:lnTo>
                    <a:lnTo>
                      <a:pt x="85117" y="255351"/>
                    </a:lnTo>
                    <a:lnTo>
                      <a:pt x="28372" y="275617"/>
                    </a:lnTo>
                    <a:lnTo>
                      <a:pt x="8106" y="291830"/>
                    </a:lnTo>
                    <a:lnTo>
                      <a:pt x="60798" y="299936"/>
                    </a:lnTo>
                    <a:lnTo>
                      <a:pt x="85117" y="271564"/>
                    </a:lnTo>
                    <a:lnTo>
                      <a:pt x="72957" y="312096"/>
                    </a:lnTo>
                    <a:lnTo>
                      <a:pt x="72957" y="312096"/>
                    </a:lnTo>
                    <a:lnTo>
                      <a:pt x="72957" y="312096"/>
                    </a:lnTo>
                    <a:lnTo>
                      <a:pt x="109436" y="320202"/>
                    </a:lnTo>
                    <a:lnTo>
                      <a:pt x="109436" y="283724"/>
                    </a:lnTo>
                    <a:lnTo>
                      <a:pt x="113489" y="251298"/>
                    </a:lnTo>
                    <a:lnTo>
                      <a:pt x="113489" y="251298"/>
                    </a:lnTo>
                    <a:lnTo>
                      <a:pt x="145915" y="303990"/>
                    </a:lnTo>
                    <a:lnTo>
                      <a:pt x="121596" y="360734"/>
                    </a:lnTo>
                    <a:lnTo>
                      <a:pt x="125649" y="397213"/>
                    </a:lnTo>
                    <a:lnTo>
                      <a:pt x="170234" y="385053"/>
                    </a:lnTo>
                    <a:lnTo>
                      <a:pt x="243191" y="364788"/>
                    </a:lnTo>
                    <a:lnTo>
                      <a:pt x="226979" y="401266"/>
                    </a:lnTo>
                    <a:lnTo>
                      <a:pt x="247244" y="441798"/>
                    </a:lnTo>
                    <a:lnTo>
                      <a:pt x="275617" y="437745"/>
                    </a:lnTo>
                    <a:lnTo>
                      <a:pt x="275617" y="437745"/>
                    </a:lnTo>
                    <a:lnTo>
                      <a:pt x="267510" y="510702"/>
                    </a:lnTo>
                    <a:lnTo>
                      <a:pt x="251298" y="526915"/>
                    </a:lnTo>
                    <a:lnTo>
                      <a:pt x="198606" y="526915"/>
                    </a:lnTo>
                    <a:lnTo>
                      <a:pt x="198606" y="526915"/>
                    </a:lnTo>
                    <a:lnTo>
                      <a:pt x="170234" y="555288"/>
                    </a:lnTo>
                    <a:lnTo>
                      <a:pt x="158074" y="571500"/>
                    </a:lnTo>
                    <a:lnTo>
                      <a:pt x="190500" y="587713"/>
                    </a:lnTo>
                    <a:lnTo>
                      <a:pt x="190500" y="620139"/>
                    </a:lnTo>
                    <a:lnTo>
                      <a:pt x="158074" y="644458"/>
                    </a:lnTo>
                    <a:lnTo>
                      <a:pt x="121596" y="664724"/>
                    </a:lnTo>
                    <a:lnTo>
                      <a:pt x="121596" y="664724"/>
                    </a:lnTo>
                    <a:lnTo>
                      <a:pt x="162127" y="684990"/>
                    </a:lnTo>
                    <a:lnTo>
                      <a:pt x="206713" y="693096"/>
                    </a:lnTo>
                    <a:lnTo>
                      <a:pt x="235085" y="705256"/>
                    </a:lnTo>
                    <a:lnTo>
                      <a:pt x="283723" y="693096"/>
                    </a:lnTo>
                    <a:lnTo>
                      <a:pt x="263457" y="721468"/>
                    </a:lnTo>
                    <a:lnTo>
                      <a:pt x="198606" y="737681"/>
                    </a:lnTo>
                    <a:lnTo>
                      <a:pt x="158074" y="757947"/>
                    </a:lnTo>
                    <a:lnTo>
                      <a:pt x="93223" y="839011"/>
                    </a:lnTo>
                    <a:lnTo>
                      <a:pt x="162127" y="814692"/>
                    </a:lnTo>
                    <a:lnTo>
                      <a:pt x="202659" y="814692"/>
                    </a:lnTo>
                    <a:lnTo>
                      <a:pt x="206713" y="826851"/>
                    </a:lnTo>
                    <a:lnTo>
                      <a:pt x="239138" y="790373"/>
                    </a:lnTo>
                    <a:lnTo>
                      <a:pt x="263457" y="782266"/>
                    </a:lnTo>
                    <a:lnTo>
                      <a:pt x="303989" y="794426"/>
                    </a:lnTo>
                    <a:lnTo>
                      <a:pt x="360734" y="778213"/>
                    </a:lnTo>
                    <a:lnTo>
                      <a:pt x="409372" y="778213"/>
                    </a:lnTo>
                    <a:lnTo>
                      <a:pt x="462064" y="762000"/>
                    </a:lnTo>
                    <a:lnTo>
                      <a:pt x="478276" y="770107"/>
                    </a:lnTo>
                    <a:lnTo>
                      <a:pt x="530968" y="757947"/>
                    </a:lnTo>
                    <a:lnTo>
                      <a:pt x="591766" y="721468"/>
                    </a:lnTo>
                    <a:lnTo>
                      <a:pt x="530968" y="705256"/>
                    </a:lnTo>
                    <a:lnTo>
                      <a:pt x="579606" y="672830"/>
                    </a:lnTo>
                    <a:lnTo>
                      <a:pt x="599872" y="603926"/>
                    </a:lnTo>
                    <a:lnTo>
                      <a:pt x="567447" y="559341"/>
                    </a:lnTo>
                    <a:lnTo>
                      <a:pt x="539074" y="555288"/>
                    </a:lnTo>
                    <a:lnTo>
                      <a:pt x="498542" y="567447"/>
                    </a:lnTo>
                    <a:lnTo>
                      <a:pt x="498542" y="567447"/>
                    </a:lnTo>
                    <a:lnTo>
                      <a:pt x="510702" y="514756"/>
                    </a:lnTo>
                    <a:lnTo>
                      <a:pt x="490436" y="490436"/>
                    </a:lnTo>
                    <a:lnTo>
                      <a:pt x="474223" y="449905"/>
                    </a:lnTo>
                    <a:lnTo>
                      <a:pt x="449904" y="409373"/>
                    </a:lnTo>
                    <a:lnTo>
                      <a:pt x="397213" y="381000"/>
                    </a:lnTo>
                    <a:lnTo>
                      <a:pt x="381000" y="356681"/>
                    </a:lnTo>
                    <a:lnTo>
                      <a:pt x="360734" y="308043"/>
                    </a:lnTo>
                    <a:lnTo>
                      <a:pt x="332361" y="271564"/>
                    </a:lnTo>
                    <a:lnTo>
                      <a:pt x="295883" y="259405"/>
                    </a:lnTo>
                    <a:lnTo>
                      <a:pt x="263457" y="251298"/>
                    </a:lnTo>
                    <a:lnTo>
                      <a:pt x="283723" y="235085"/>
                    </a:lnTo>
                    <a:lnTo>
                      <a:pt x="267510" y="222926"/>
                    </a:lnTo>
                    <a:lnTo>
                      <a:pt x="303989" y="198607"/>
                    </a:lnTo>
                    <a:lnTo>
                      <a:pt x="316149" y="154022"/>
                    </a:lnTo>
                    <a:lnTo>
                      <a:pt x="316149" y="154022"/>
                    </a:lnTo>
                    <a:lnTo>
                      <a:pt x="344521" y="93224"/>
                    </a:lnTo>
                    <a:lnTo>
                      <a:pt x="295883" y="93224"/>
                    </a:lnTo>
                    <a:lnTo>
                      <a:pt x="271564" y="89171"/>
                    </a:lnTo>
                    <a:lnTo>
                      <a:pt x="255351" y="97277"/>
                    </a:lnTo>
                    <a:lnTo>
                      <a:pt x="214819" y="93224"/>
                    </a:lnTo>
                    <a:lnTo>
                      <a:pt x="190500" y="105383"/>
                    </a:lnTo>
                    <a:lnTo>
                      <a:pt x="190500" y="105383"/>
                    </a:lnTo>
                    <a:lnTo>
                      <a:pt x="231032" y="52692"/>
                    </a:lnTo>
                    <a:lnTo>
                      <a:pt x="259404" y="0"/>
                    </a:lnTo>
                    <a:close/>
                  </a:path>
                </a:pathLst>
              </a:cu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53" name="Freeform 252"/>
              <xdr:cNvSpPr/>
            </xdr:nvSpPr>
            <xdr:spPr>
              <a:xfrm>
                <a:off x="3490444" y="10813626"/>
                <a:ext cx="123319" cy="128345"/>
              </a:xfrm>
              <a:custGeom>
                <a:avLst/>
                <a:gdLst>
                  <a:gd name="connsiteX0" fmla="*/ 0 w 101330"/>
                  <a:gd name="connsiteY0" fmla="*/ 162128 h 162128"/>
                  <a:gd name="connsiteX1" fmla="*/ 24319 w 101330"/>
                  <a:gd name="connsiteY1" fmla="*/ 129702 h 162128"/>
                  <a:gd name="connsiteX2" fmla="*/ 24319 w 101330"/>
                  <a:gd name="connsiteY2" fmla="*/ 129702 h 162128"/>
                  <a:gd name="connsiteX3" fmla="*/ 4053 w 101330"/>
                  <a:gd name="connsiteY3" fmla="*/ 77011 h 162128"/>
                  <a:gd name="connsiteX4" fmla="*/ 36479 w 101330"/>
                  <a:gd name="connsiteY4" fmla="*/ 56745 h 162128"/>
                  <a:gd name="connsiteX5" fmla="*/ 48638 w 101330"/>
                  <a:gd name="connsiteY5" fmla="*/ 48639 h 162128"/>
                  <a:gd name="connsiteX6" fmla="*/ 52691 w 101330"/>
                  <a:gd name="connsiteY6" fmla="*/ 12160 h 162128"/>
                  <a:gd name="connsiteX7" fmla="*/ 101330 w 101330"/>
                  <a:gd name="connsiteY7" fmla="*/ 0 h 162128"/>
                  <a:gd name="connsiteX8" fmla="*/ 85117 w 101330"/>
                  <a:gd name="connsiteY8" fmla="*/ 44585 h 162128"/>
                  <a:gd name="connsiteX9" fmla="*/ 40532 w 101330"/>
                  <a:gd name="connsiteY9" fmla="*/ 85117 h 162128"/>
                  <a:gd name="connsiteX10" fmla="*/ 36479 w 101330"/>
                  <a:gd name="connsiteY10" fmla="*/ 117543 h 162128"/>
                  <a:gd name="connsiteX11" fmla="*/ 0 w 101330"/>
                  <a:gd name="connsiteY11" fmla="*/ 162128 h 16212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101330" h="162128">
                    <a:moveTo>
                      <a:pt x="0" y="162128"/>
                    </a:moveTo>
                    <a:lnTo>
                      <a:pt x="24319" y="129702"/>
                    </a:lnTo>
                    <a:lnTo>
                      <a:pt x="24319" y="129702"/>
                    </a:lnTo>
                    <a:lnTo>
                      <a:pt x="4053" y="77011"/>
                    </a:lnTo>
                    <a:cubicBezTo>
                      <a:pt x="33525" y="55960"/>
                      <a:pt x="20803" y="56745"/>
                      <a:pt x="36479" y="56745"/>
                    </a:cubicBezTo>
                    <a:lnTo>
                      <a:pt x="48638" y="48639"/>
                    </a:lnTo>
                    <a:lnTo>
                      <a:pt x="52691" y="12160"/>
                    </a:lnTo>
                    <a:lnTo>
                      <a:pt x="101330" y="0"/>
                    </a:lnTo>
                    <a:lnTo>
                      <a:pt x="85117" y="44585"/>
                    </a:lnTo>
                    <a:lnTo>
                      <a:pt x="40532" y="85117"/>
                    </a:lnTo>
                    <a:lnTo>
                      <a:pt x="36479" y="117543"/>
                    </a:lnTo>
                    <a:lnTo>
                      <a:pt x="0" y="162128"/>
                    </a:lnTo>
                    <a:close/>
                  </a:path>
                </a:pathLst>
              </a:cu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54" name="Freeform 253"/>
              <xdr:cNvSpPr/>
            </xdr:nvSpPr>
            <xdr:spPr>
              <a:xfrm>
                <a:off x="3798742" y="10749453"/>
                <a:ext cx="61660" cy="0"/>
              </a:xfrm>
              <a:custGeom>
                <a:avLst/>
                <a:gdLst>
                  <a:gd name="connsiteX0" fmla="*/ 0 w 61913"/>
                  <a:gd name="connsiteY0" fmla="*/ 28575 h 28575"/>
                  <a:gd name="connsiteX1" fmla="*/ 21432 w 61913"/>
                  <a:gd name="connsiteY1" fmla="*/ 0 h 28575"/>
                  <a:gd name="connsiteX2" fmla="*/ 61913 w 61913"/>
                  <a:gd name="connsiteY2" fmla="*/ 19050 h 28575"/>
                  <a:gd name="connsiteX3" fmla="*/ 0 w 61913"/>
                  <a:gd name="connsiteY3" fmla="*/ 28575 h 28575"/>
                </a:gdLst>
                <a:ahLst/>
                <a:cxnLst>
                  <a:cxn ang="0">
                    <a:pos x="connsiteX0" y="connsiteY0"/>
                  </a:cxn>
                  <a:cxn ang="0">
                    <a:pos x="connsiteX1" y="connsiteY1"/>
                  </a:cxn>
                  <a:cxn ang="0">
                    <a:pos x="connsiteX2" y="connsiteY2"/>
                  </a:cxn>
                  <a:cxn ang="0">
                    <a:pos x="connsiteX3" y="connsiteY3"/>
                  </a:cxn>
                </a:cxnLst>
                <a:rect l="l" t="t" r="r" b="b"/>
                <a:pathLst>
                  <a:path w="61913" h="28575">
                    <a:moveTo>
                      <a:pt x="0" y="28575"/>
                    </a:moveTo>
                    <a:lnTo>
                      <a:pt x="21432" y="0"/>
                    </a:lnTo>
                    <a:lnTo>
                      <a:pt x="61913" y="19050"/>
                    </a:lnTo>
                    <a:lnTo>
                      <a:pt x="0" y="28575"/>
                    </a:lnTo>
                    <a:close/>
                  </a:path>
                </a:pathLst>
              </a:cu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55" name="Freeform 254"/>
              <xdr:cNvSpPr/>
            </xdr:nvSpPr>
            <xdr:spPr>
              <a:xfrm>
                <a:off x="3922061" y="10492763"/>
                <a:ext cx="0" cy="128345"/>
              </a:xfrm>
              <a:custGeom>
                <a:avLst/>
                <a:gdLst>
                  <a:gd name="connsiteX0" fmla="*/ 0 w 35719"/>
                  <a:gd name="connsiteY0" fmla="*/ 92869 h 92869"/>
                  <a:gd name="connsiteX1" fmla="*/ 28575 w 35719"/>
                  <a:gd name="connsiteY1" fmla="*/ 30956 h 92869"/>
                  <a:gd name="connsiteX2" fmla="*/ 16669 w 35719"/>
                  <a:gd name="connsiteY2" fmla="*/ 19050 h 92869"/>
                  <a:gd name="connsiteX3" fmla="*/ 35719 w 35719"/>
                  <a:gd name="connsiteY3" fmla="*/ 0 h 92869"/>
                </a:gdLst>
                <a:ahLst/>
                <a:cxnLst>
                  <a:cxn ang="0">
                    <a:pos x="connsiteX0" y="connsiteY0"/>
                  </a:cxn>
                  <a:cxn ang="0">
                    <a:pos x="connsiteX1" y="connsiteY1"/>
                  </a:cxn>
                  <a:cxn ang="0">
                    <a:pos x="connsiteX2" y="connsiteY2"/>
                  </a:cxn>
                  <a:cxn ang="0">
                    <a:pos x="connsiteX3" y="connsiteY3"/>
                  </a:cxn>
                </a:cxnLst>
                <a:rect l="l" t="t" r="r" b="b"/>
                <a:pathLst>
                  <a:path w="35719" h="92869">
                    <a:moveTo>
                      <a:pt x="0" y="92869"/>
                    </a:moveTo>
                    <a:lnTo>
                      <a:pt x="28575" y="30956"/>
                    </a:lnTo>
                    <a:lnTo>
                      <a:pt x="16669" y="19050"/>
                    </a:lnTo>
                    <a:lnTo>
                      <a:pt x="35719" y="0"/>
                    </a:lnTo>
                  </a:path>
                </a:pathLst>
              </a:cu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56" name="Freeform 255"/>
              <xdr:cNvSpPr/>
            </xdr:nvSpPr>
            <xdr:spPr>
              <a:xfrm>
                <a:off x="3305465" y="11134488"/>
                <a:ext cx="308298" cy="320862"/>
              </a:xfrm>
              <a:custGeom>
                <a:avLst/>
                <a:gdLst>
                  <a:gd name="connsiteX0" fmla="*/ 276225 w 321469"/>
                  <a:gd name="connsiteY0" fmla="*/ 0 h 371475"/>
                  <a:gd name="connsiteX1" fmla="*/ 233363 w 321469"/>
                  <a:gd name="connsiteY1" fmla="*/ 26193 h 371475"/>
                  <a:gd name="connsiteX2" fmla="*/ 200025 w 321469"/>
                  <a:gd name="connsiteY2" fmla="*/ 21431 h 371475"/>
                  <a:gd name="connsiteX3" fmla="*/ 166688 w 321469"/>
                  <a:gd name="connsiteY3" fmla="*/ 7143 h 371475"/>
                  <a:gd name="connsiteX4" fmla="*/ 126207 w 321469"/>
                  <a:gd name="connsiteY4" fmla="*/ 28575 h 371475"/>
                  <a:gd name="connsiteX5" fmla="*/ 104775 w 321469"/>
                  <a:gd name="connsiteY5" fmla="*/ 59531 h 371475"/>
                  <a:gd name="connsiteX6" fmla="*/ 135732 w 321469"/>
                  <a:gd name="connsiteY6" fmla="*/ 76200 h 371475"/>
                  <a:gd name="connsiteX7" fmla="*/ 97632 w 321469"/>
                  <a:gd name="connsiteY7" fmla="*/ 102393 h 371475"/>
                  <a:gd name="connsiteX8" fmla="*/ 61913 w 321469"/>
                  <a:gd name="connsiteY8" fmla="*/ 104775 h 371475"/>
                  <a:gd name="connsiteX9" fmla="*/ 23813 w 321469"/>
                  <a:gd name="connsiteY9" fmla="*/ 107156 h 371475"/>
                  <a:gd name="connsiteX10" fmla="*/ 9525 w 321469"/>
                  <a:gd name="connsiteY10" fmla="*/ 133350 h 371475"/>
                  <a:gd name="connsiteX11" fmla="*/ 33338 w 321469"/>
                  <a:gd name="connsiteY11" fmla="*/ 145256 h 371475"/>
                  <a:gd name="connsiteX12" fmla="*/ 2382 w 321469"/>
                  <a:gd name="connsiteY12" fmla="*/ 171450 h 371475"/>
                  <a:gd name="connsiteX13" fmla="*/ 57150 w 321469"/>
                  <a:gd name="connsiteY13" fmla="*/ 207168 h 371475"/>
                  <a:gd name="connsiteX14" fmla="*/ 52388 w 321469"/>
                  <a:gd name="connsiteY14" fmla="*/ 257175 h 371475"/>
                  <a:gd name="connsiteX15" fmla="*/ 38100 w 321469"/>
                  <a:gd name="connsiteY15" fmla="*/ 280987 h 371475"/>
                  <a:gd name="connsiteX16" fmla="*/ 0 w 321469"/>
                  <a:gd name="connsiteY16" fmla="*/ 309562 h 371475"/>
                  <a:gd name="connsiteX17" fmla="*/ 16669 w 321469"/>
                  <a:gd name="connsiteY17" fmla="*/ 342900 h 371475"/>
                  <a:gd name="connsiteX18" fmla="*/ 42863 w 321469"/>
                  <a:gd name="connsiteY18" fmla="*/ 369093 h 371475"/>
                  <a:gd name="connsiteX19" fmla="*/ 88107 w 321469"/>
                  <a:gd name="connsiteY19" fmla="*/ 371475 h 371475"/>
                  <a:gd name="connsiteX20" fmla="*/ 133350 w 321469"/>
                  <a:gd name="connsiteY20" fmla="*/ 345281 h 371475"/>
                  <a:gd name="connsiteX21" fmla="*/ 202407 w 321469"/>
                  <a:gd name="connsiteY21" fmla="*/ 316706 h 371475"/>
                  <a:gd name="connsiteX22" fmla="*/ 254794 w 321469"/>
                  <a:gd name="connsiteY22" fmla="*/ 311943 h 371475"/>
                  <a:gd name="connsiteX23" fmla="*/ 266700 w 321469"/>
                  <a:gd name="connsiteY23" fmla="*/ 269081 h 371475"/>
                  <a:gd name="connsiteX24" fmla="*/ 283369 w 321469"/>
                  <a:gd name="connsiteY24" fmla="*/ 230981 h 371475"/>
                  <a:gd name="connsiteX25" fmla="*/ 276225 w 321469"/>
                  <a:gd name="connsiteY25" fmla="*/ 202406 h 371475"/>
                  <a:gd name="connsiteX26" fmla="*/ 288132 w 321469"/>
                  <a:gd name="connsiteY26" fmla="*/ 180975 h 371475"/>
                  <a:gd name="connsiteX27" fmla="*/ 276225 w 321469"/>
                  <a:gd name="connsiteY27" fmla="*/ 145256 h 371475"/>
                  <a:gd name="connsiteX28" fmla="*/ 273844 w 321469"/>
                  <a:gd name="connsiteY28" fmla="*/ 123825 h 371475"/>
                  <a:gd name="connsiteX29" fmla="*/ 319088 w 321469"/>
                  <a:gd name="connsiteY29" fmla="*/ 95250 h 371475"/>
                  <a:gd name="connsiteX30" fmla="*/ 321469 w 321469"/>
                  <a:gd name="connsiteY30" fmla="*/ 71437 h 371475"/>
                  <a:gd name="connsiteX31" fmla="*/ 300038 w 321469"/>
                  <a:gd name="connsiteY31" fmla="*/ 61912 h 371475"/>
                  <a:gd name="connsiteX32" fmla="*/ 276225 w 321469"/>
                  <a:gd name="connsiteY32" fmla="*/ 0 h 3714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Lst>
                <a:rect l="l" t="t" r="r" b="b"/>
                <a:pathLst>
                  <a:path w="321469" h="371475">
                    <a:moveTo>
                      <a:pt x="276225" y="0"/>
                    </a:moveTo>
                    <a:lnTo>
                      <a:pt x="233363" y="26193"/>
                    </a:lnTo>
                    <a:lnTo>
                      <a:pt x="200025" y="21431"/>
                    </a:lnTo>
                    <a:lnTo>
                      <a:pt x="166688" y="7143"/>
                    </a:lnTo>
                    <a:lnTo>
                      <a:pt x="126207" y="28575"/>
                    </a:lnTo>
                    <a:lnTo>
                      <a:pt x="104775" y="59531"/>
                    </a:lnTo>
                    <a:lnTo>
                      <a:pt x="135732" y="76200"/>
                    </a:lnTo>
                    <a:lnTo>
                      <a:pt x="97632" y="102393"/>
                    </a:lnTo>
                    <a:lnTo>
                      <a:pt x="61913" y="104775"/>
                    </a:lnTo>
                    <a:lnTo>
                      <a:pt x="23813" y="107156"/>
                    </a:lnTo>
                    <a:lnTo>
                      <a:pt x="9525" y="133350"/>
                    </a:lnTo>
                    <a:lnTo>
                      <a:pt x="33338" y="145256"/>
                    </a:lnTo>
                    <a:lnTo>
                      <a:pt x="2382" y="171450"/>
                    </a:lnTo>
                    <a:lnTo>
                      <a:pt x="57150" y="207168"/>
                    </a:lnTo>
                    <a:lnTo>
                      <a:pt x="52388" y="257175"/>
                    </a:lnTo>
                    <a:lnTo>
                      <a:pt x="38100" y="280987"/>
                    </a:lnTo>
                    <a:lnTo>
                      <a:pt x="0" y="309562"/>
                    </a:lnTo>
                    <a:lnTo>
                      <a:pt x="16669" y="342900"/>
                    </a:lnTo>
                    <a:lnTo>
                      <a:pt x="42863" y="369093"/>
                    </a:lnTo>
                    <a:lnTo>
                      <a:pt x="88107" y="371475"/>
                    </a:lnTo>
                    <a:lnTo>
                      <a:pt x="133350" y="345281"/>
                    </a:lnTo>
                    <a:lnTo>
                      <a:pt x="202407" y="316706"/>
                    </a:lnTo>
                    <a:lnTo>
                      <a:pt x="254794" y="311943"/>
                    </a:lnTo>
                    <a:lnTo>
                      <a:pt x="266700" y="269081"/>
                    </a:lnTo>
                    <a:lnTo>
                      <a:pt x="283369" y="230981"/>
                    </a:lnTo>
                    <a:lnTo>
                      <a:pt x="276225" y="202406"/>
                    </a:lnTo>
                    <a:lnTo>
                      <a:pt x="288132" y="180975"/>
                    </a:lnTo>
                    <a:lnTo>
                      <a:pt x="276225" y="145256"/>
                    </a:lnTo>
                    <a:lnTo>
                      <a:pt x="273844" y="123825"/>
                    </a:lnTo>
                    <a:lnTo>
                      <a:pt x="319088" y="95250"/>
                    </a:lnTo>
                    <a:lnTo>
                      <a:pt x="321469" y="71437"/>
                    </a:lnTo>
                    <a:lnTo>
                      <a:pt x="300038" y="61912"/>
                    </a:lnTo>
                    <a:lnTo>
                      <a:pt x="276225" y="0"/>
                    </a:lnTo>
                    <a:close/>
                  </a:path>
                </a:pathLst>
              </a:cu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57" name="Freeform 256"/>
              <xdr:cNvSpPr/>
            </xdr:nvSpPr>
            <xdr:spPr>
              <a:xfrm>
                <a:off x="3428784" y="8888451"/>
                <a:ext cx="3884557" cy="3914522"/>
              </a:xfrm>
              <a:custGeom>
                <a:avLst/>
                <a:gdLst>
                  <a:gd name="connsiteX0" fmla="*/ 3879695 w 3893634"/>
                  <a:gd name="connsiteY0" fmla="*/ 497159 h 3926159"/>
                  <a:gd name="connsiteX1" fmla="*/ 3879695 w 3893634"/>
                  <a:gd name="connsiteY1" fmla="*/ 2578720 h 3926159"/>
                  <a:gd name="connsiteX2" fmla="*/ 3893634 w 3893634"/>
                  <a:gd name="connsiteY2" fmla="*/ 2578720 h 3926159"/>
                  <a:gd name="connsiteX3" fmla="*/ 3856464 w 3893634"/>
                  <a:gd name="connsiteY3" fmla="*/ 2597305 h 3926159"/>
                  <a:gd name="connsiteX4" fmla="*/ 3842525 w 3893634"/>
                  <a:gd name="connsiteY4" fmla="*/ 2606598 h 3926159"/>
                  <a:gd name="connsiteX5" fmla="*/ 3814647 w 3893634"/>
                  <a:gd name="connsiteY5" fmla="*/ 2615890 h 3926159"/>
                  <a:gd name="connsiteX6" fmla="*/ 3800708 w 3893634"/>
                  <a:gd name="connsiteY6" fmla="*/ 2620537 h 3926159"/>
                  <a:gd name="connsiteX7" fmla="*/ 3786769 w 3893634"/>
                  <a:gd name="connsiteY7" fmla="*/ 2625183 h 3926159"/>
                  <a:gd name="connsiteX8" fmla="*/ 3758891 w 3893634"/>
                  <a:gd name="connsiteY8" fmla="*/ 2643769 h 3926159"/>
                  <a:gd name="connsiteX9" fmla="*/ 3744952 w 3893634"/>
                  <a:gd name="connsiteY9" fmla="*/ 2653061 h 3926159"/>
                  <a:gd name="connsiteX10" fmla="*/ 3744952 w 3893634"/>
                  <a:gd name="connsiteY10" fmla="*/ 2694878 h 3926159"/>
                  <a:gd name="connsiteX11" fmla="*/ 3758891 w 3893634"/>
                  <a:gd name="connsiteY11" fmla="*/ 2704171 h 3926159"/>
                  <a:gd name="connsiteX12" fmla="*/ 3758891 w 3893634"/>
                  <a:gd name="connsiteY12" fmla="*/ 2750634 h 3926159"/>
                  <a:gd name="connsiteX13" fmla="*/ 3744952 w 3893634"/>
                  <a:gd name="connsiteY13" fmla="*/ 2755281 h 3926159"/>
                  <a:gd name="connsiteX14" fmla="*/ 3717073 w 3893634"/>
                  <a:gd name="connsiteY14" fmla="*/ 2750634 h 3926159"/>
                  <a:gd name="connsiteX15" fmla="*/ 3707781 w 3893634"/>
                  <a:gd name="connsiteY15" fmla="*/ 2722756 h 3926159"/>
                  <a:gd name="connsiteX16" fmla="*/ 3703134 w 3893634"/>
                  <a:gd name="connsiteY16" fmla="*/ 2708817 h 3926159"/>
                  <a:gd name="connsiteX17" fmla="*/ 3689195 w 3893634"/>
                  <a:gd name="connsiteY17" fmla="*/ 2699525 h 3926159"/>
                  <a:gd name="connsiteX18" fmla="*/ 3661317 w 3893634"/>
                  <a:gd name="connsiteY18" fmla="*/ 2690232 h 3926159"/>
                  <a:gd name="connsiteX19" fmla="*/ 3652025 w 3893634"/>
                  <a:gd name="connsiteY19" fmla="*/ 2764573 h 3926159"/>
                  <a:gd name="connsiteX20" fmla="*/ 3642732 w 3893634"/>
                  <a:gd name="connsiteY20" fmla="*/ 2778512 h 3926159"/>
                  <a:gd name="connsiteX21" fmla="*/ 3652025 w 3893634"/>
                  <a:gd name="connsiteY21" fmla="*/ 2801744 h 3926159"/>
                  <a:gd name="connsiteX22" fmla="*/ 3647378 w 3893634"/>
                  <a:gd name="connsiteY22" fmla="*/ 2834269 h 3926159"/>
                  <a:gd name="connsiteX23" fmla="*/ 3628793 w 3893634"/>
                  <a:gd name="connsiteY23" fmla="*/ 2862147 h 3926159"/>
                  <a:gd name="connsiteX24" fmla="*/ 3633439 w 3893634"/>
                  <a:gd name="connsiteY24" fmla="*/ 2899317 h 3926159"/>
                  <a:gd name="connsiteX25" fmla="*/ 3638086 w 3893634"/>
                  <a:gd name="connsiteY25" fmla="*/ 2913256 h 3926159"/>
                  <a:gd name="connsiteX26" fmla="*/ 3665964 w 3893634"/>
                  <a:gd name="connsiteY26" fmla="*/ 2922549 h 3926159"/>
                  <a:gd name="connsiteX27" fmla="*/ 3675256 w 3893634"/>
                  <a:gd name="connsiteY27" fmla="*/ 2936488 h 3926159"/>
                  <a:gd name="connsiteX28" fmla="*/ 3689195 w 3893634"/>
                  <a:gd name="connsiteY28" fmla="*/ 2945781 h 3926159"/>
                  <a:gd name="connsiteX29" fmla="*/ 3693842 w 3893634"/>
                  <a:gd name="connsiteY29" fmla="*/ 2959720 h 3926159"/>
                  <a:gd name="connsiteX30" fmla="*/ 3726366 w 3893634"/>
                  <a:gd name="connsiteY30" fmla="*/ 2964366 h 3926159"/>
                  <a:gd name="connsiteX31" fmla="*/ 3740305 w 3893634"/>
                  <a:gd name="connsiteY31" fmla="*/ 2969012 h 3926159"/>
                  <a:gd name="connsiteX32" fmla="*/ 3754244 w 3893634"/>
                  <a:gd name="connsiteY32" fmla="*/ 2996890 h 3926159"/>
                  <a:gd name="connsiteX33" fmla="*/ 3749598 w 3893634"/>
                  <a:gd name="connsiteY33" fmla="*/ 3034061 h 3926159"/>
                  <a:gd name="connsiteX34" fmla="*/ 3735659 w 3893634"/>
                  <a:gd name="connsiteY34" fmla="*/ 3038708 h 3926159"/>
                  <a:gd name="connsiteX35" fmla="*/ 3717073 w 3893634"/>
                  <a:gd name="connsiteY35" fmla="*/ 3043354 h 3926159"/>
                  <a:gd name="connsiteX36" fmla="*/ 3721720 w 3893634"/>
                  <a:gd name="connsiteY36" fmla="*/ 3057293 h 3926159"/>
                  <a:gd name="connsiteX37" fmla="*/ 3749598 w 3893634"/>
                  <a:gd name="connsiteY37" fmla="*/ 3066586 h 3926159"/>
                  <a:gd name="connsiteX38" fmla="*/ 3749598 w 3893634"/>
                  <a:gd name="connsiteY38" fmla="*/ 3126988 h 3926159"/>
                  <a:gd name="connsiteX39" fmla="*/ 3735659 w 3893634"/>
                  <a:gd name="connsiteY39" fmla="*/ 3131634 h 3926159"/>
                  <a:gd name="connsiteX40" fmla="*/ 3717073 w 3893634"/>
                  <a:gd name="connsiteY40" fmla="*/ 3126988 h 3926159"/>
                  <a:gd name="connsiteX41" fmla="*/ 3712427 w 3893634"/>
                  <a:gd name="connsiteY41" fmla="*/ 3113049 h 3926159"/>
                  <a:gd name="connsiteX42" fmla="*/ 3698488 w 3893634"/>
                  <a:gd name="connsiteY42" fmla="*/ 3108403 h 3926159"/>
                  <a:gd name="connsiteX43" fmla="*/ 3689195 w 3893634"/>
                  <a:gd name="connsiteY43" fmla="*/ 3094464 h 3926159"/>
                  <a:gd name="connsiteX44" fmla="*/ 3675256 w 3893634"/>
                  <a:gd name="connsiteY44" fmla="*/ 3099110 h 3926159"/>
                  <a:gd name="connsiteX45" fmla="*/ 3670610 w 3893634"/>
                  <a:gd name="connsiteY45" fmla="*/ 3182744 h 3926159"/>
                  <a:gd name="connsiteX46" fmla="*/ 3642732 w 3893634"/>
                  <a:gd name="connsiteY46" fmla="*/ 3201329 h 3926159"/>
                  <a:gd name="connsiteX47" fmla="*/ 3642732 w 3893634"/>
                  <a:gd name="connsiteY47" fmla="*/ 3284964 h 3926159"/>
                  <a:gd name="connsiteX48" fmla="*/ 3647378 w 3893634"/>
                  <a:gd name="connsiteY48" fmla="*/ 3298903 h 3926159"/>
                  <a:gd name="connsiteX49" fmla="*/ 3675256 w 3893634"/>
                  <a:gd name="connsiteY49" fmla="*/ 3312842 h 3926159"/>
                  <a:gd name="connsiteX50" fmla="*/ 3679903 w 3893634"/>
                  <a:gd name="connsiteY50" fmla="*/ 3391829 h 3926159"/>
                  <a:gd name="connsiteX51" fmla="*/ 3712427 w 3893634"/>
                  <a:gd name="connsiteY51" fmla="*/ 3433647 h 3926159"/>
                  <a:gd name="connsiteX52" fmla="*/ 3726366 w 3893634"/>
                  <a:gd name="connsiteY52" fmla="*/ 3442939 h 3926159"/>
                  <a:gd name="connsiteX53" fmla="*/ 3735659 w 3893634"/>
                  <a:gd name="connsiteY53" fmla="*/ 3456878 h 3926159"/>
                  <a:gd name="connsiteX54" fmla="*/ 3754244 w 3893634"/>
                  <a:gd name="connsiteY54" fmla="*/ 3498695 h 3926159"/>
                  <a:gd name="connsiteX55" fmla="*/ 3768183 w 3893634"/>
                  <a:gd name="connsiteY55" fmla="*/ 3503342 h 3926159"/>
                  <a:gd name="connsiteX56" fmla="*/ 3782122 w 3893634"/>
                  <a:gd name="connsiteY56" fmla="*/ 3531220 h 3926159"/>
                  <a:gd name="connsiteX57" fmla="*/ 3810000 w 3893634"/>
                  <a:gd name="connsiteY57" fmla="*/ 3549805 h 3926159"/>
                  <a:gd name="connsiteX58" fmla="*/ 3837878 w 3893634"/>
                  <a:gd name="connsiteY58" fmla="*/ 3563744 h 3926159"/>
                  <a:gd name="connsiteX59" fmla="*/ 3847171 w 3893634"/>
                  <a:gd name="connsiteY59" fmla="*/ 3591622 h 3926159"/>
                  <a:gd name="connsiteX60" fmla="*/ 3819293 w 3893634"/>
                  <a:gd name="connsiteY60" fmla="*/ 3600915 h 3926159"/>
                  <a:gd name="connsiteX61" fmla="*/ 3791415 w 3893634"/>
                  <a:gd name="connsiteY61" fmla="*/ 3656671 h 3926159"/>
                  <a:gd name="connsiteX62" fmla="*/ 3772830 w 3893634"/>
                  <a:gd name="connsiteY62" fmla="*/ 3684549 h 3926159"/>
                  <a:gd name="connsiteX63" fmla="*/ 3768183 w 3893634"/>
                  <a:gd name="connsiteY63" fmla="*/ 3712427 h 3926159"/>
                  <a:gd name="connsiteX64" fmla="*/ 3740305 w 3893634"/>
                  <a:gd name="connsiteY64" fmla="*/ 3726366 h 3926159"/>
                  <a:gd name="connsiteX65" fmla="*/ 3707781 w 3893634"/>
                  <a:gd name="connsiteY65" fmla="*/ 3707781 h 3926159"/>
                  <a:gd name="connsiteX66" fmla="*/ 3712427 w 3893634"/>
                  <a:gd name="connsiteY66" fmla="*/ 3675256 h 3926159"/>
                  <a:gd name="connsiteX67" fmla="*/ 3707781 w 3893634"/>
                  <a:gd name="connsiteY67" fmla="*/ 3652025 h 3926159"/>
                  <a:gd name="connsiteX68" fmla="*/ 3665964 w 3893634"/>
                  <a:gd name="connsiteY68" fmla="*/ 3665964 h 3926159"/>
                  <a:gd name="connsiteX69" fmla="*/ 3633439 w 3893634"/>
                  <a:gd name="connsiteY69" fmla="*/ 3689195 h 3926159"/>
                  <a:gd name="connsiteX70" fmla="*/ 3619500 w 3893634"/>
                  <a:gd name="connsiteY70" fmla="*/ 3693842 h 3926159"/>
                  <a:gd name="connsiteX71" fmla="*/ 3605561 w 3893634"/>
                  <a:gd name="connsiteY71" fmla="*/ 3698488 h 3926159"/>
                  <a:gd name="connsiteX72" fmla="*/ 3549805 w 3893634"/>
                  <a:gd name="connsiteY72" fmla="*/ 3693842 h 3926159"/>
                  <a:gd name="connsiteX73" fmla="*/ 3535866 w 3893634"/>
                  <a:gd name="connsiteY73" fmla="*/ 3689195 h 3926159"/>
                  <a:gd name="connsiteX74" fmla="*/ 3526573 w 3893634"/>
                  <a:gd name="connsiteY74" fmla="*/ 3675256 h 3926159"/>
                  <a:gd name="connsiteX75" fmla="*/ 3512634 w 3893634"/>
                  <a:gd name="connsiteY75" fmla="*/ 3665964 h 3926159"/>
                  <a:gd name="connsiteX76" fmla="*/ 3507988 w 3893634"/>
                  <a:gd name="connsiteY76" fmla="*/ 3652025 h 3926159"/>
                  <a:gd name="connsiteX77" fmla="*/ 3480110 w 3893634"/>
                  <a:gd name="connsiteY77" fmla="*/ 3642732 h 3926159"/>
                  <a:gd name="connsiteX78" fmla="*/ 3461525 w 3893634"/>
                  <a:gd name="connsiteY78" fmla="*/ 3670610 h 3926159"/>
                  <a:gd name="connsiteX79" fmla="*/ 3470817 w 3893634"/>
                  <a:gd name="connsiteY79" fmla="*/ 3735659 h 3926159"/>
                  <a:gd name="connsiteX80" fmla="*/ 3494049 w 3893634"/>
                  <a:gd name="connsiteY80" fmla="*/ 3796061 h 3926159"/>
                  <a:gd name="connsiteX81" fmla="*/ 3507988 w 3893634"/>
                  <a:gd name="connsiteY81" fmla="*/ 3805354 h 3926159"/>
                  <a:gd name="connsiteX82" fmla="*/ 3503342 w 3893634"/>
                  <a:gd name="connsiteY82" fmla="*/ 3823939 h 3926159"/>
                  <a:gd name="connsiteX83" fmla="*/ 3461525 w 3893634"/>
                  <a:gd name="connsiteY83" fmla="*/ 3828586 h 3926159"/>
                  <a:gd name="connsiteX84" fmla="*/ 3387183 w 3893634"/>
                  <a:gd name="connsiteY84" fmla="*/ 3823939 h 3926159"/>
                  <a:gd name="connsiteX85" fmla="*/ 3368598 w 3893634"/>
                  <a:gd name="connsiteY85" fmla="*/ 3828586 h 3926159"/>
                  <a:gd name="connsiteX86" fmla="*/ 3257086 w 3893634"/>
                  <a:gd name="connsiteY86" fmla="*/ 3837878 h 3926159"/>
                  <a:gd name="connsiteX87" fmla="*/ 3243147 w 3893634"/>
                  <a:gd name="connsiteY87" fmla="*/ 3847171 h 3926159"/>
                  <a:gd name="connsiteX88" fmla="*/ 3224561 w 3893634"/>
                  <a:gd name="connsiteY88" fmla="*/ 3851817 h 3926159"/>
                  <a:gd name="connsiteX89" fmla="*/ 3210622 w 3893634"/>
                  <a:gd name="connsiteY89" fmla="*/ 3856464 h 3926159"/>
                  <a:gd name="connsiteX90" fmla="*/ 3182744 w 3893634"/>
                  <a:gd name="connsiteY90" fmla="*/ 3861110 h 3926159"/>
                  <a:gd name="connsiteX91" fmla="*/ 3168805 w 3893634"/>
                  <a:gd name="connsiteY91" fmla="*/ 3865756 h 3926159"/>
                  <a:gd name="connsiteX92" fmla="*/ 3131634 w 3893634"/>
                  <a:gd name="connsiteY92" fmla="*/ 3875049 h 3926159"/>
                  <a:gd name="connsiteX93" fmla="*/ 3108403 w 3893634"/>
                  <a:gd name="connsiteY93" fmla="*/ 3870403 h 3926159"/>
                  <a:gd name="connsiteX94" fmla="*/ 3099110 w 3893634"/>
                  <a:gd name="connsiteY94" fmla="*/ 3856464 h 3926159"/>
                  <a:gd name="connsiteX95" fmla="*/ 3071232 w 3893634"/>
                  <a:gd name="connsiteY95" fmla="*/ 3847171 h 3926159"/>
                  <a:gd name="connsiteX96" fmla="*/ 3020122 w 3893634"/>
                  <a:gd name="connsiteY96" fmla="*/ 3851817 h 3926159"/>
                  <a:gd name="connsiteX97" fmla="*/ 3006183 w 3893634"/>
                  <a:gd name="connsiteY97" fmla="*/ 3861110 h 3926159"/>
                  <a:gd name="connsiteX98" fmla="*/ 2992244 w 3893634"/>
                  <a:gd name="connsiteY98" fmla="*/ 3865756 h 3926159"/>
                  <a:gd name="connsiteX99" fmla="*/ 2973659 w 3893634"/>
                  <a:gd name="connsiteY99" fmla="*/ 3893634 h 3926159"/>
                  <a:gd name="connsiteX100" fmla="*/ 2969013 w 3893634"/>
                  <a:gd name="connsiteY100" fmla="*/ 3907573 h 3926159"/>
                  <a:gd name="connsiteX101" fmla="*/ 2941134 w 3893634"/>
                  <a:gd name="connsiteY101" fmla="*/ 3926159 h 3926159"/>
                  <a:gd name="connsiteX102" fmla="*/ 2922549 w 3893634"/>
                  <a:gd name="connsiteY102" fmla="*/ 3921512 h 3926159"/>
                  <a:gd name="connsiteX103" fmla="*/ 2955073 w 3893634"/>
                  <a:gd name="connsiteY103" fmla="*/ 3888988 h 3926159"/>
                  <a:gd name="connsiteX104" fmla="*/ 2950427 w 3893634"/>
                  <a:gd name="connsiteY104" fmla="*/ 3870403 h 3926159"/>
                  <a:gd name="connsiteX105" fmla="*/ 2936488 w 3893634"/>
                  <a:gd name="connsiteY105" fmla="*/ 3865756 h 3926159"/>
                  <a:gd name="connsiteX106" fmla="*/ 2908610 w 3893634"/>
                  <a:gd name="connsiteY106" fmla="*/ 3851817 h 3926159"/>
                  <a:gd name="connsiteX107" fmla="*/ 2890025 w 3893634"/>
                  <a:gd name="connsiteY107" fmla="*/ 3856464 h 3926159"/>
                  <a:gd name="connsiteX108" fmla="*/ 2876086 w 3893634"/>
                  <a:gd name="connsiteY108" fmla="*/ 3861110 h 3926159"/>
                  <a:gd name="connsiteX109" fmla="*/ 2838915 w 3893634"/>
                  <a:gd name="connsiteY109" fmla="*/ 3870403 h 3926159"/>
                  <a:gd name="connsiteX110" fmla="*/ 2824976 w 3893634"/>
                  <a:gd name="connsiteY110" fmla="*/ 3884342 h 3926159"/>
                  <a:gd name="connsiteX111" fmla="*/ 2773866 w 3893634"/>
                  <a:gd name="connsiteY111" fmla="*/ 3893634 h 3926159"/>
                  <a:gd name="connsiteX112" fmla="*/ 2759927 w 3893634"/>
                  <a:gd name="connsiteY112" fmla="*/ 3902927 h 3926159"/>
                  <a:gd name="connsiteX113" fmla="*/ 2704171 w 3893634"/>
                  <a:gd name="connsiteY113" fmla="*/ 3902927 h 3926159"/>
                  <a:gd name="connsiteX114" fmla="*/ 2690232 w 3893634"/>
                  <a:gd name="connsiteY114" fmla="*/ 3893634 h 3926159"/>
                  <a:gd name="connsiteX115" fmla="*/ 2680939 w 3893634"/>
                  <a:gd name="connsiteY115" fmla="*/ 3879695 h 3926159"/>
                  <a:gd name="connsiteX116" fmla="*/ 2653061 w 3893634"/>
                  <a:gd name="connsiteY116" fmla="*/ 3870403 h 3926159"/>
                  <a:gd name="connsiteX117" fmla="*/ 2588013 w 3893634"/>
                  <a:gd name="connsiteY117" fmla="*/ 3875049 h 3926159"/>
                  <a:gd name="connsiteX118" fmla="*/ 2574073 w 3893634"/>
                  <a:gd name="connsiteY118" fmla="*/ 3879695 h 3926159"/>
                  <a:gd name="connsiteX119" fmla="*/ 2550842 w 3893634"/>
                  <a:gd name="connsiteY119" fmla="*/ 3898281 h 3926159"/>
                  <a:gd name="connsiteX120" fmla="*/ 2504378 w 3893634"/>
                  <a:gd name="connsiteY120" fmla="*/ 3888988 h 3926159"/>
                  <a:gd name="connsiteX121" fmla="*/ 2490439 w 3893634"/>
                  <a:gd name="connsiteY121" fmla="*/ 3879695 h 3926159"/>
                  <a:gd name="connsiteX122" fmla="*/ 2485793 w 3893634"/>
                  <a:gd name="connsiteY122" fmla="*/ 3865756 h 3926159"/>
                  <a:gd name="connsiteX123" fmla="*/ 2425391 w 3893634"/>
                  <a:gd name="connsiteY123" fmla="*/ 3861110 h 3926159"/>
                  <a:gd name="connsiteX124" fmla="*/ 2411452 w 3893634"/>
                  <a:gd name="connsiteY124" fmla="*/ 3856464 h 3926159"/>
                  <a:gd name="connsiteX125" fmla="*/ 2406805 w 3893634"/>
                  <a:gd name="connsiteY125" fmla="*/ 3842525 h 3926159"/>
                  <a:gd name="connsiteX126" fmla="*/ 2402159 w 3893634"/>
                  <a:gd name="connsiteY126" fmla="*/ 3814647 h 3926159"/>
                  <a:gd name="connsiteX127" fmla="*/ 2388220 w 3893634"/>
                  <a:gd name="connsiteY127" fmla="*/ 3810000 h 3926159"/>
                  <a:gd name="connsiteX128" fmla="*/ 2364988 w 3893634"/>
                  <a:gd name="connsiteY128" fmla="*/ 3768183 h 3926159"/>
                  <a:gd name="connsiteX129" fmla="*/ 2360342 w 3893634"/>
                  <a:gd name="connsiteY129" fmla="*/ 3744951 h 3926159"/>
                  <a:gd name="connsiteX130" fmla="*/ 2351049 w 3893634"/>
                  <a:gd name="connsiteY130" fmla="*/ 3731012 h 3926159"/>
                  <a:gd name="connsiteX131" fmla="*/ 2323171 w 3893634"/>
                  <a:gd name="connsiteY131" fmla="*/ 3721720 h 3926159"/>
                  <a:gd name="connsiteX132" fmla="*/ 2313878 w 3893634"/>
                  <a:gd name="connsiteY132" fmla="*/ 3707781 h 3926159"/>
                  <a:gd name="connsiteX133" fmla="*/ 2341756 w 3893634"/>
                  <a:gd name="connsiteY133" fmla="*/ 3698488 h 3926159"/>
                  <a:gd name="connsiteX134" fmla="*/ 2341756 w 3893634"/>
                  <a:gd name="connsiteY134" fmla="*/ 3665964 h 3926159"/>
                  <a:gd name="connsiteX135" fmla="*/ 2313878 w 3893634"/>
                  <a:gd name="connsiteY135" fmla="*/ 3656671 h 3926159"/>
                  <a:gd name="connsiteX136" fmla="*/ 2309232 w 3893634"/>
                  <a:gd name="connsiteY136" fmla="*/ 3614854 h 3926159"/>
                  <a:gd name="connsiteX137" fmla="*/ 2313878 w 3893634"/>
                  <a:gd name="connsiteY137" fmla="*/ 3600915 h 3926159"/>
                  <a:gd name="connsiteX138" fmla="*/ 2327817 w 3893634"/>
                  <a:gd name="connsiteY138" fmla="*/ 3596269 h 3926159"/>
                  <a:gd name="connsiteX139" fmla="*/ 2313878 w 3893634"/>
                  <a:gd name="connsiteY139" fmla="*/ 3554451 h 3926159"/>
                  <a:gd name="connsiteX140" fmla="*/ 2304586 w 3893634"/>
                  <a:gd name="connsiteY140" fmla="*/ 3535866 h 3926159"/>
                  <a:gd name="connsiteX141" fmla="*/ 2276708 w 3893634"/>
                  <a:gd name="connsiteY141" fmla="*/ 3517281 h 3926159"/>
                  <a:gd name="connsiteX142" fmla="*/ 2220952 w 3893634"/>
                  <a:gd name="connsiteY142" fmla="*/ 3526573 h 3926159"/>
                  <a:gd name="connsiteX143" fmla="*/ 2202366 w 3893634"/>
                  <a:gd name="connsiteY143" fmla="*/ 3531220 h 3926159"/>
                  <a:gd name="connsiteX144" fmla="*/ 2160549 w 3893634"/>
                  <a:gd name="connsiteY144" fmla="*/ 3535866 h 3926159"/>
                  <a:gd name="connsiteX145" fmla="*/ 2151256 w 3893634"/>
                  <a:gd name="connsiteY145" fmla="*/ 3549805 h 3926159"/>
                  <a:gd name="connsiteX146" fmla="*/ 2169842 w 3893634"/>
                  <a:gd name="connsiteY146" fmla="*/ 3577683 h 3926159"/>
                  <a:gd name="connsiteX147" fmla="*/ 2165195 w 3893634"/>
                  <a:gd name="connsiteY147" fmla="*/ 3591622 h 3926159"/>
                  <a:gd name="connsiteX148" fmla="*/ 2137317 w 3893634"/>
                  <a:gd name="connsiteY148" fmla="*/ 3605561 h 3926159"/>
                  <a:gd name="connsiteX149" fmla="*/ 2123378 w 3893634"/>
                  <a:gd name="connsiteY149" fmla="*/ 3600915 h 3926159"/>
                  <a:gd name="connsiteX150" fmla="*/ 2104793 w 3893634"/>
                  <a:gd name="connsiteY150" fmla="*/ 3577683 h 3926159"/>
                  <a:gd name="connsiteX151" fmla="*/ 2076915 w 3893634"/>
                  <a:gd name="connsiteY151" fmla="*/ 3568390 h 3926159"/>
                  <a:gd name="connsiteX152" fmla="*/ 2081561 w 3893634"/>
                  <a:gd name="connsiteY152" fmla="*/ 3633439 h 3926159"/>
                  <a:gd name="connsiteX153" fmla="*/ 2095500 w 3893634"/>
                  <a:gd name="connsiteY153" fmla="*/ 3647378 h 3926159"/>
                  <a:gd name="connsiteX154" fmla="*/ 2114086 w 3893634"/>
                  <a:gd name="connsiteY154" fmla="*/ 3675256 h 3926159"/>
                  <a:gd name="connsiteX155" fmla="*/ 2123378 w 3893634"/>
                  <a:gd name="connsiteY155" fmla="*/ 3703134 h 3926159"/>
                  <a:gd name="connsiteX156" fmla="*/ 2137317 w 3893634"/>
                  <a:gd name="connsiteY156" fmla="*/ 3712427 h 3926159"/>
                  <a:gd name="connsiteX157" fmla="*/ 2151256 w 3893634"/>
                  <a:gd name="connsiteY157" fmla="*/ 3726366 h 3926159"/>
                  <a:gd name="connsiteX158" fmla="*/ 2165195 w 3893634"/>
                  <a:gd name="connsiteY158" fmla="*/ 3735659 h 3926159"/>
                  <a:gd name="connsiteX159" fmla="*/ 2188427 w 3893634"/>
                  <a:gd name="connsiteY159" fmla="*/ 3763537 h 3926159"/>
                  <a:gd name="connsiteX160" fmla="*/ 2202366 w 3893634"/>
                  <a:gd name="connsiteY160" fmla="*/ 3772829 h 3926159"/>
                  <a:gd name="connsiteX161" fmla="*/ 2160549 w 3893634"/>
                  <a:gd name="connsiteY161" fmla="*/ 3782122 h 3926159"/>
                  <a:gd name="connsiteX162" fmla="*/ 2128025 w 3893634"/>
                  <a:gd name="connsiteY162" fmla="*/ 3777476 h 3926159"/>
                  <a:gd name="connsiteX163" fmla="*/ 2114086 w 3893634"/>
                  <a:gd name="connsiteY163" fmla="*/ 3772829 h 3926159"/>
                  <a:gd name="connsiteX164" fmla="*/ 2100147 w 3893634"/>
                  <a:gd name="connsiteY164" fmla="*/ 3828586 h 3926159"/>
                  <a:gd name="connsiteX165" fmla="*/ 2086208 w 3893634"/>
                  <a:gd name="connsiteY165" fmla="*/ 3837878 h 3926159"/>
                  <a:gd name="connsiteX166" fmla="*/ 2081561 w 3893634"/>
                  <a:gd name="connsiteY166" fmla="*/ 3851817 h 3926159"/>
                  <a:gd name="connsiteX167" fmla="*/ 2076915 w 3893634"/>
                  <a:gd name="connsiteY167" fmla="*/ 3879695 h 3926159"/>
                  <a:gd name="connsiteX168" fmla="*/ 2044391 w 3893634"/>
                  <a:gd name="connsiteY168" fmla="*/ 3875049 h 3926159"/>
                  <a:gd name="connsiteX169" fmla="*/ 2030452 w 3893634"/>
                  <a:gd name="connsiteY169" fmla="*/ 3865756 h 3926159"/>
                  <a:gd name="connsiteX170" fmla="*/ 2007220 w 3893634"/>
                  <a:gd name="connsiteY170" fmla="*/ 3861110 h 3926159"/>
                  <a:gd name="connsiteX171" fmla="*/ 2002573 w 3893634"/>
                  <a:gd name="connsiteY171" fmla="*/ 3847171 h 3926159"/>
                  <a:gd name="connsiteX172" fmla="*/ 1988634 w 3893634"/>
                  <a:gd name="connsiteY172" fmla="*/ 3805354 h 3926159"/>
                  <a:gd name="connsiteX173" fmla="*/ 1974695 w 3893634"/>
                  <a:gd name="connsiteY173" fmla="*/ 3796061 h 3926159"/>
                  <a:gd name="connsiteX174" fmla="*/ 1970049 w 3893634"/>
                  <a:gd name="connsiteY174" fmla="*/ 3782122 h 3926159"/>
                  <a:gd name="connsiteX175" fmla="*/ 1974695 w 3893634"/>
                  <a:gd name="connsiteY175" fmla="*/ 3768183 h 3926159"/>
                  <a:gd name="connsiteX176" fmla="*/ 2044391 w 3893634"/>
                  <a:gd name="connsiteY176" fmla="*/ 3754244 h 3926159"/>
                  <a:gd name="connsiteX177" fmla="*/ 2030452 w 3893634"/>
                  <a:gd name="connsiteY177" fmla="*/ 3740305 h 3926159"/>
                  <a:gd name="connsiteX178" fmla="*/ 2002573 w 3893634"/>
                  <a:gd name="connsiteY178" fmla="*/ 3731012 h 3926159"/>
                  <a:gd name="connsiteX179" fmla="*/ 1988634 w 3893634"/>
                  <a:gd name="connsiteY179" fmla="*/ 3726366 h 3926159"/>
                  <a:gd name="connsiteX180" fmla="*/ 1974695 w 3893634"/>
                  <a:gd name="connsiteY180" fmla="*/ 3721720 h 3926159"/>
                  <a:gd name="connsiteX181" fmla="*/ 1951464 w 3893634"/>
                  <a:gd name="connsiteY181" fmla="*/ 3717073 h 3926159"/>
                  <a:gd name="connsiteX182" fmla="*/ 1937525 w 3893634"/>
                  <a:gd name="connsiteY182" fmla="*/ 3703134 h 3926159"/>
                  <a:gd name="connsiteX183" fmla="*/ 1928232 w 3893634"/>
                  <a:gd name="connsiteY183" fmla="*/ 3684549 h 3926159"/>
                  <a:gd name="connsiteX184" fmla="*/ 1914293 w 3893634"/>
                  <a:gd name="connsiteY184" fmla="*/ 3638086 h 3926159"/>
                  <a:gd name="connsiteX185" fmla="*/ 1905000 w 3893634"/>
                  <a:gd name="connsiteY185" fmla="*/ 3610208 h 3926159"/>
                  <a:gd name="connsiteX186" fmla="*/ 1877122 w 3893634"/>
                  <a:gd name="connsiteY186" fmla="*/ 3600915 h 3926159"/>
                  <a:gd name="connsiteX187" fmla="*/ 1863183 w 3893634"/>
                  <a:gd name="connsiteY187" fmla="*/ 3554451 h 3926159"/>
                  <a:gd name="connsiteX188" fmla="*/ 1858537 w 3893634"/>
                  <a:gd name="connsiteY188" fmla="*/ 3452232 h 3926159"/>
                  <a:gd name="connsiteX189" fmla="*/ 1853891 w 3893634"/>
                  <a:gd name="connsiteY189" fmla="*/ 3438293 h 3926159"/>
                  <a:gd name="connsiteX190" fmla="*/ 1839952 w 3893634"/>
                  <a:gd name="connsiteY190" fmla="*/ 3433647 h 3926159"/>
                  <a:gd name="connsiteX191" fmla="*/ 1798134 w 3893634"/>
                  <a:gd name="connsiteY191" fmla="*/ 3391829 h 3926159"/>
                  <a:gd name="connsiteX192" fmla="*/ 1784195 w 3893634"/>
                  <a:gd name="connsiteY192" fmla="*/ 3387183 h 3926159"/>
                  <a:gd name="connsiteX193" fmla="*/ 1774903 w 3893634"/>
                  <a:gd name="connsiteY193" fmla="*/ 3373244 h 3926159"/>
                  <a:gd name="connsiteX194" fmla="*/ 1760964 w 3893634"/>
                  <a:gd name="connsiteY194" fmla="*/ 3368598 h 3926159"/>
                  <a:gd name="connsiteX195" fmla="*/ 1733086 w 3893634"/>
                  <a:gd name="connsiteY195" fmla="*/ 3350012 h 3926159"/>
                  <a:gd name="connsiteX196" fmla="*/ 1719147 w 3893634"/>
                  <a:gd name="connsiteY196" fmla="*/ 3340720 h 3926159"/>
                  <a:gd name="connsiteX197" fmla="*/ 1705208 w 3893634"/>
                  <a:gd name="connsiteY197" fmla="*/ 3331427 h 3926159"/>
                  <a:gd name="connsiteX198" fmla="*/ 1677330 w 3893634"/>
                  <a:gd name="connsiteY198" fmla="*/ 3322134 h 3926159"/>
                  <a:gd name="connsiteX199" fmla="*/ 1663391 w 3893634"/>
                  <a:gd name="connsiteY199" fmla="*/ 3317488 h 3926159"/>
                  <a:gd name="connsiteX200" fmla="*/ 1607634 w 3893634"/>
                  <a:gd name="connsiteY200" fmla="*/ 3280317 h 3926159"/>
                  <a:gd name="connsiteX201" fmla="*/ 1593695 w 3893634"/>
                  <a:gd name="connsiteY201" fmla="*/ 3275671 h 3926159"/>
                  <a:gd name="connsiteX202" fmla="*/ 1589049 w 3893634"/>
                  <a:gd name="connsiteY202" fmla="*/ 3261732 h 3926159"/>
                  <a:gd name="connsiteX203" fmla="*/ 1575110 w 3893634"/>
                  <a:gd name="connsiteY203" fmla="*/ 3215269 h 3926159"/>
                  <a:gd name="connsiteX204" fmla="*/ 1547232 w 3893634"/>
                  <a:gd name="connsiteY204" fmla="*/ 3196683 h 3926159"/>
                  <a:gd name="connsiteX205" fmla="*/ 1533293 w 3893634"/>
                  <a:gd name="connsiteY205" fmla="*/ 3168805 h 3926159"/>
                  <a:gd name="connsiteX206" fmla="*/ 1524000 w 3893634"/>
                  <a:gd name="connsiteY206" fmla="*/ 3196683 h 3926159"/>
                  <a:gd name="connsiteX207" fmla="*/ 1510061 w 3893634"/>
                  <a:gd name="connsiteY207" fmla="*/ 3201329 h 3926159"/>
                  <a:gd name="connsiteX208" fmla="*/ 1491476 w 3893634"/>
                  <a:gd name="connsiteY208" fmla="*/ 3178098 h 3926159"/>
                  <a:gd name="connsiteX209" fmla="*/ 1486830 w 3893634"/>
                  <a:gd name="connsiteY209" fmla="*/ 3164159 h 3926159"/>
                  <a:gd name="connsiteX210" fmla="*/ 1496122 w 3893634"/>
                  <a:gd name="connsiteY210" fmla="*/ 3126988 h 3926159"/>
                  <a:gd name="connsiteX211" fmla="*/ 1445013 w 3893634"/>
                  <a:gd name="connsiteY211" fmla="*/ 3136281 h 3926159"/>
                  <a:gd name="connsiteX212" fmla="*/ 1417134 w 3893634"/>
                  <a:gd name="connsiteY212" fmla="*/ 3145573 h 3926159"/>
                  <a:gd name="connsiteX213" fmla="*/ 1403195 w 3893634"/>
                  <a:gd name="connsiteY213" fmla="*/ 3173451 h 3926159"/>
                  <a:gd name="connsiteX214" fmla="*/ 1417134 w 3893634"/>
                  <a:gd name="connsiteY214" fmla="*/ 3182744 h 3926159"/>
                  <a:gd name="connsiteX215" fmla="*/ 1421781 w 3893634"/>
                  <a:gd name="connsiteY215" fmla="*/ 3238500 h 3926159"/>
                  <a:gd name="connsiteX216" fmla="*/ 1435720 w 3893634"/>
                  <a:gd name="connsiteY216" fmla="*/ 3247793 h 3926159"/>
                  <a:gd name="connsiteX217" fmla="*/ 1458952 w 3893634"/>
                  <a:gd name="connsiteY217" fmla="*/ 3266378 h 3926159"/>
                  <a:gd name="connsiteX218" fmla="*/ 1472891 w 3893634"/>
                  <a:gd name="connsiteY218" fmla="*/ 3280317 h 3926159"/>
                  <a:gd name="connsiteX219" fmla="*/ 1482183 w 3893634"/>
                  <a:gd name="connsiteY219" fmla="*/ 3326781 h 3926159"/>
                  <a:gd name="connsiteX220" fmla="*/ 1500769 w 3893634"/>
                  <a:gd name="connsiteY220" fmla="*/ 3368598 h 3926159"/>
                  <a:gd name="connsiteX221" fmla="*/ 1514708 w 3893634"/>
                  <a:gd name="connsiteY221" fmla="*/ 3415061 h 3926159"/>
                  <a:gd name="connsiteX222" fmla="*/ 1519354 w 3893634"/>
                  <a:gd name="connsiteY222" fmla="*/ 3429000 h 3926159"/>
                  <a:gd name="connsiteX223" fmla="*/ 1533293 w 3893634"/>
                  <a:gd name="connsiteY223" fmla="*/ 3438293 h 3926159"/>
                  <a:gd name="connsiteX224" fmla="*/ 1542586 w 3893634"/>
                  <a:gd name="connsiteY224" fmla="*/ 3452232 h 3926159"/>
                  <a:gd name="connsiteX225" fmla="*/ 1570464 w 3893634"/>
                  <a:gd name="connsiteY225" fmla="*/ 3470817 h 3926159"/>
                  <a:gd name="connsiteX226" fmla="*/ 1602988 w 3893634"/>
                  <a:gd name="connsiteY226" fmla="*/ 3466171 h 3926159"/>
                  <a:gd name="connsiteX227" fmla="*/ 1630866 w 3893634"/>
                  <a:gd name="connsiteY227" fmla="*/ 3456878 h 3926159"/>
                  <a:gd name="connsiteX228" fmla="*/ 1640159 w 3893634"/>
                  <a:gd name="connsiteY228" fmla="*/ 3470817 h 3926159"/>
                  <a:gd name="connsiteX229" fmla="*/ 1644805 w 3893634"/>
                  <a:gd name="connsiteY229" fmla="*/ 3498695 h 3926159"/>
                  <a:gd name="connsiteX230" fmla="*/ 1668037 w 3893634"/>
                  <a:gd name="connsiteY230" fmla="*/ 3503342 h 3926159"/>
                  <a:gd name="connsiteX231" fmla="*/ 1681976 w 3893634"/>
                  <a:gd name="connsiteY231" fmla="*/ 3507988 h 3926159"/>
                  <a:gd name="connsiteX232" fmla="*/ 1700561 w 3893634"/>
                  <a:gd name="connsiteY232" fmla="*/ 3512634 h 3926159"/>
                  <a:gd name="connsiteX233" fmla="*/ 1742378 w 3893634"/>
                  <a:gd name="connsiteY233" fmla="*/ 3535866 h 3926159"/>
                  <a:gd name="connsiteX234" fmla="*/ 1770256 w 3893634"/>
                  <a:gd name="connsiteY234" fmla="*/ 3549805 h 3926159"/>
                  <a:gd name="connsiteX235" fmla="*/ 1784195 w 3893634"/>
                  <a:gd name="connsiteY235" fmla="*/ 3559098 h 3926159"/>
                  <a:gd name="connsiteX236" fmla="*/ 1793488 w 3893634"/>
                  <a:gd name="connsiteY236" fmla="*/ 3573037 h 3926159"/>
                  <a:gd name="connsiteX237" fmla="*/ 1812073 w 3893634"/>
                  <a:gd name="connsiteY237" fmla="*/ 3591622 h 3926159"/>
                  <a:gd name="connsiteX238" fmla="*/ 1784195 w 3893634"/>
                  <a:gd name="connsiteY238" fmla="*/ 3596269 h 3926159"/>
                  <a:gd name="connsiteX239" fmla="*/ 1756317 w 3893634"/>
                  <a:gd name="connsiteY239" fmla="*/ 3577683 h 3926159"/>
                  <a:gd name="connsiteX240" fmla="*/ 1681976 w 3893634"/>
                  <a:gd name="connsiteY240" fmla="*/ 3596269 h 3926159"/>
                  <a:gd name="connsiteX241" fmla="*/ 1691269 w 3893634"/>
                  <a:gd name="connsiteY241" fmla="*/ 3638086 h 3926159"/>
                  <a:gd name="connsiteX242" fmla="*/ 1709854 w 3893634"/>
                  <a:gd name="connsiteY242" fmla="*/ 3665964 h 3926159"/>
                  <a:gd name="connsiteX243" fmla="*/ 1714500 w 3893634"/>
                  <a:gd name="connsiteY243" fmla="*/ 3679903 h 3926159"/>
                  <a:gd name="connsiteX244" fmla="*/ 1691269 w 3893634"/>
                  <a:gd name="connsiteY244" fmla="*/ 3703134 h 3926159"/>
                  <a:gd name="connsiteX245" fmla="*/ 1681976 w 3893634"/>
                  <a:gd name="connsiteY245" fmla="*/ 3717073 h 3926159"/>
                  <a:gd name="connsiteX246" fmla="*/ 1668037 w 3893634"/>
                  <a:gd name="connsiteY246" fmla="*/ 3726366 h 3926159"/>
                  <a:gd name="connsiteX247" fmla="*/ 1663391 w 3893634"/>
                  <a:gd name="connsiteY247" fmla="*/ 3744951 h 3926159"/>
                  <a:gd name="connsiteX248" fmla="*/ 1658744 w 3893634"/>
                  <a:gd name="connsiteY248" fmla="*/ 3758890 h 3926159"/>
                  <a:gd name="connsiteX249" fmla="*/ 1626220 w 3893634"/>
                  <a:gd name="connsiteY249" fmla="*/ 3763537 h 3926159"/>
                  <a:gd name="connsiteX250" fmla="*/ 1612281 w 3893634"/>
                  <a:gd name="connsiteY250" fmla="*/ 3772829 h 3926159"/>
                  <a:gd name="connsiteX251" fmla="*/ 1593695 w 3893634"/>
                  <a:gd name="connsiteY251" fmla="*/ 3800708 h 3926159"/>
                  <a:gd name="connsiteX252" fmla="*/ 1607634 w 3893634"/>
                  <a:gd name="connsiteY252" fmla="*/ 3851817 h 3926159"/>
                  <a:gd name="connsiteX253" fmla="*/ 1593695 w 3893634"/>
                  <a:gd name="connsiteY253" fmla="*/ 3856464 h 3926159"/>
                  <a:gd name="connsiteX254" fmla="*/ 1579756 w 3893634"/>
                  <a:gd name="connsiteY254" fmla="*/ 3842525 h 3926159"/>
                  <a:gd name="connsiteX255" fmla="*/ 1570464 w 3893634"/>
                  <a:gd name="connsiteY255" fmla="*/ 3828586 h 3926159"/>
                  <a:gd name="connsiteX256" fmla="*/ 1556525 w 3893634"/>
                  <a:gd name="connsiteY256" fmla="*/ 3819293 h 3926159"/>
                  <a:gd name="connsiteX257" fmla="*/ 1547232 w 3893634"/>
                  <a:gd name="connsiteY257" fmla="*/ 3805354 h 3926159"/>
                  <a:gd name="connsiteX258" fmla="*/ 1519354 w 3893634"/>
                  <a:gd name="connsiteY258" fmla="*/ 3796061 h 3926159"/>
                  <a:gd name="connsiteX259" fmla="*/ 1468244 w 3893634"/>
                  <a:gd name="connsiteY259" fmla="*/ 3786769 h 3926159"/>
                  <a:gd name="connsiteX260" fmla="*/ 1537939 w 3893634"/>
                  <a:gd name="connsiteY260" fmla="*/ 3772829 h 3926159"/>
                  <a:gd name="connsiteX261" fmla="*/ 1551878 w 3893634"/>
                  <a:gd name="connsiteY261" fmla="*/ 3763537 h 3926159"/>
                  <a:gd name="connsiteX262" fmla="*/ 1565817 w 3893634"/>
                  <a:gd name="connsiteY262" fmla="*/ 3758890 h 3926159"/>
                  <a:gd name="connsiteX263" fmla="*/ 1579756 w 3893634"/>
                  <a:gd name="connsiteY263" fmla="*/ 3749598 h 3926159"/>
                  <a:gd name="connsiteX264" fmla="*/ 1607634 w 3893634"/>
                  <a:gd name="connsiteY264" fmla="*/ 3740305 h 3926159"/>
                  <a:gd name="connsiteX265" fmla="*/ 1635513 w 3893634"/>
                  <a:gd name="connsiteY265" fmla="*/ 3721720 h 3926159"/>
                  <a:gd name="connsiteX266" fmla="*/ 1654098 w 3893634"/>
                  <a:gd name="connsiteY266" fmla="*/ 3693842 h 3926159"/>
                  <a:gd name="connsiteX267" fmla="*/ 1644805 w 3893634"/>
                  <a:gd name="connsiteY267" fmla="*/ 3652025 h 3926159"/>
                  <a:gd name="connsiteX268" fmla="*/ 1640159 w 3893634"/>
                  <a:gd name="connsiteY268" fmla="*/ 3638086 h 3926159"/>
                  <a:gd name="connsiteX269" fmla="*/ 1626220 w 3893634"/>
                  <a:gd name="connsiteY269" fmla="*/ 3624147 h 3926159"/>
                  <a:gd name="connsiteX270" fmla="*/ 1612281 w 3893634"/>
                  <a:gd name="connsiteY270" fmla="*/ 3619500 h 3926159"/>
                  <a:gd name="connsiteX271" fmla="*/ 1593695 w 3893634"/>
                  <a:gd name="connsiteY271" fmla="*/ 3596269 h 3926159"/>
                  <a:gd name="connsiteX272" fmla="*/ 1575110 w 3893634"/>
                  <a:gd name="connsiteY272" fmla="*/ 3573037 h 3926159"/>
                  <a:gd name="connsiteX273" fmla="*/ 1556525 w 3893634"/>
                  <a:gd name="connsiteY273" fmla="*/ 3554451 h 3926159"/>
                  <a:gd name="connsiteX274" fmla="*/ 1547232 w 3893634"/>
                  <a:gd name="connsiteY274" fmla="*/ 3540512 h 3926159"/>
                  <a:gd name="connsiteX275" fmla="*/ 1533293 w 3893634"/>
                  <a:gd name="connsiteY275" fmla="*/ 3526573 h 3926159"/>
                  <a:gd name="connsiteX276" fmla="*/ 1524000 w 3893634"/>
                  <a:gd name="connsiteY276" fmla="*/ 3512634 h 3926159"/>
                  <a:gd name="connsiteX277" fmla="*/ 1482183 w 3893634"/>
                  <a:gd name="connsiteY277" fmla="*/ 3503342 h 3926159"/>
                  <a:gd name="connsiteX278" fmla="*/ 1449659 w 3893634"/>
                  <a:gd name="connsiteY278" fmla="*/ 3484756 h 3926159"/>
                  <a:gd name="connsiteX279" fmla="*/ 1435720 w 3893634"/>
                  <a:gd name="connsiteY279" fmla="*/ 3480110 h 3926159"/>
                  <a:gd name="connsiteX280" fmla="*/ 1393903 w 3893634"/>
                  <a:gd name="connsiteY280" fmla="*/ 3452232 h 3926159"/>
                  <a:gd name="connsiteX281" fmla="*/ 1379964 w 3893634"/>
                  <a:gd name="connsiteY281" fmla="*/ 3442939 h 3926159"/>
                  <a:gd name="connsiteX282" fmla="*/ 1366025 w 3893634"/>
                  <a:gd name="connsiteY282" fmla="*/ 3433647 h 3926159"/>
                  <a:gd name="connsiteX283" fmla="*/ 1361378 w 3893634"/>
                  <a:gd name="connsiteY283" fmla="*/ 3419708 h 3926159"/>
                  <a:gd name="connsiteX284" fmla="*/ 1333500 w 3893634"/>
                  <a:gd name="connsiteY284" fmla="*/ 3377890 h 3926159"/>
                  <a:gd name="connsiteX285" fmla="*/ 1319561 w 3893634"/>
                  <a:gd name="connsiteY285" fmla="*/ 3373244 h 3926159"/>
                  <a:gd name="connsiteX286" fmla="*/ 1310269 w 3893634"/>
                  <a:gd name="connsiteY286" fmla="*/ 3359305 h 3926159"/>
                  <a:gd name="connsiteX287" fmla="*/ 1296330 w 3893634"/>
                  <a:gd name="connsiteY287" fmla="*/ 3350012 h 3926159"/>
                  <a:gd name="connsiteX288" fmla="*/ 1287037 w 3893634"/>
                  <a:gd name="connsiteY288" fmla="*/ 3331427 h 3926159"/>
                  <a:gd name="connsiteX289" fmla="*/ 1268452 w 3893634"/>
                  <a:gd name="connsiteY289" fmla="*/ 3303549 h 3926159"/>
                  <a:gd name="connsiteX290" fmla="*/ 1263805 w 3893634"/>
                  <a:gd name="connsiteY290" fmla="*/ 3289610 h 3926159"/>
                  <a:gd name="connsiteX291" fmla="*/ 1231281 w 3893634"/>
                  <a:gd name="connsiteY291" fmla="*/ 3252439 h 3926159"/>
                  <a:gd name="connsiteX292" fmla="*/ 1217342 w 3893634"/>
                  <a:gd name="connsiteY292" fmla="*/ 3247793 h 3926159"/>
                  <a:gd name="connsiteX293" fmla="*/ 1161586 w 3893634"/>
                  <a:gd name="connsiteY293" fmla="*/ 3252439 h 3926159"/>
                  <a:gd name="connsiteX294" fmla="*/ 1152293 w 3893634"/>
                  <a:gd name="connsiteY294" fmla="*/ 3266378 h 3926159"/>
                  <a:gd name="connsiteX295" fmla="*/ 1110476 w 3893634"/>
                  <a:gd name="connsiteY295" fmla="*/ 3280317 h 3926159"/>
                  <a:gd name="connsiteX296" fmla="*/ 1105830 w 3893634"/>
                  <a:gd name="connsiteY296" fmla="*/ 3284964 h 3926159"/>
                  <a:gd name="connsiteX297" fmla="*/ 1068659 w 3893634"/>
                  <a:gd name="connsiteY297" fmla="*/ 3312842 h 3926159"/>
                  <a:gd name="connsiteX298" fmla="*/ 1036134 w 3893634"/>
                  <a:gd name="connsiteY298" fmla="*/ 3336073 h 3926159"/>
                  <a:gd name="connsiteX299" fmla="*/ 1031488 w 3893634"/>
                  <a:gd name="connsiteY299" fmla="*/ 3350012 h 3926159"/>
                  <a:gd name="connsiteX300" fmla="*/ 943208 w 3893634"/>
                  <a:gd name="connsiteY300" fmla="*/ 3345366 h 3926159"/>
                  <a:gd name="connsiteX301" fmla="*/ 929269 w 3893634"/>
                  <a:gd name="connsiteY301" fmla="*/ 3336073 h 3926159"/>
                  <a:gd name="connsiteX302" fmla="*/ 901391 w 3893634"/>
                  <a:gd name="connsiteY302" fmla="*/ 3326781 h 3926159"/>
                  <a:gd name="connsiteX303" fmla="*/ 840988 w 3893634"/>
                  <a:gd name="connsiteY303" fmla="*/ 3331427 h 3926159"/>
                  <a:gd name="connsiteX304" fmla="*/ 827049 w 3893634"/>
                  <a:gd name="connsiteY304" fmla="*/ 3340720 h 3926159"/>
                  <a:gd name="connsiteX305" fmla="*/ 808464 w 3893634"/>
                  <a:gd name="connsiteY305" fmla="*/ 3447586 h 3926159"/>
                  <a:gd name="connsiteX306" fmla="*/ 799171 w 3893634"/>
                  <a:gd name="connsiteY306" fmla="*/ 3461525 h 3926159"/>
                  <a:gd name="connsiteX307" fmla="*/ 785232 w 3893634"/>
                  <a:gd name="connsiteY307" fmla="*/ 3466171 h 3926159"/>
                  <a:gd name="connsiteX308" fmla="*/ 771293 w 3893634"/>
                  <a:gd name="connsiteY308" fmla="*/ 3475464 h 3926159"/>
                  <a:gd name="connsiteX309" fmla="*/ 766647 w 3893634"/>
                  <a:gd name="connsiteY309" fmla="*/ 3489403 h 3926159"/>
                  <a:gd name="connsiteX310" fmla="*/ 752708 w 3893634"/>
                  <a:gd name="connsiteY310" fmla="*/ 3494049 h 3926159"/>
                  <a:gd name="connsiteX311" fmla="*/ 724830 w 3893634"/>
                  <a:gd name="connsiteY311" fmla="*/ 3507988 h 3926159"/>
                  <a:gd name="connsiteX312" fmla="*/ 701598 w 3893634"/>
                  <a:gd name="connsiteY312" fmla="*/ 3531220 h 3926159"/>
                  <a:gd name="connsiteX313" fmla="*/ 673720 w 3893634"/>
                  <a:gd name="connsiteY313" fmla="*/ 3540512 h 3926159"/>
                  <a:gd name="connsiteX314" fmla="*/ 655134 w 3893634"/>
                  <a:gd name="connsiteY314" fmla="*/ 3568390 h 3926159"/>
                  <a:gd name="connsiteX315" fmla="*/ 645842 w 3893634"/>
                  <a:gd name="connsiteY315" fmla="*/ 3582329 h 3926159"/>
                  <a:gd name="connsiteX316" fmla="*/ 631903 w 3893634"/>
                  <a:gd name="connsiteY316" fmla="*/ 3591622 h 3926159"/>
                  <a:gd name="connsiteX317" fmla="*/ 627256 w 3893634"/>
                  <a:gd name="connsiteY317" fmla="*/ 3605561 h 3926159"/>
                  <a:gd name="connsiteX318" fmla="*/ 608671 w 3893634"/>
                  <a:gd name="connsiteY318" fmla="*/ 3633439 h 3926159"/>
                  <a:gd name="connsiteX319" fmla="*/ 604025 w 3893634"/>
                  <a:gd name="connsiteY319" fmla="*/ 3647378 h 3926159"/>
                  <a:gd name="connsiteX320" fmla="*/ 617964 w 3893634"/>
                  <a:gd name="connsiteY320" fmla="*/ 3684549 h 3926159"/>
                  <a:gd name="connsiteX321" fmla="*/ 617964 w 3893634"/>
                  <a:gd name="connsiteY321" fmla="*/ 3731012 h 3926159"/>
                  <a:gd name="connsiteX322" fmla="*/ 604025 w 3893634"/>
                  <a:gd name="connsiteY322" fmla="*/ 3735659 h 3926159"/>
                  <a:gd name="connsiteX323" fmla="*/ 590086 w 3893634"/>
                  <a:gd name="connsiteY323" fmla="*/ 3744951 h 3926159"/>
                  <a:gd name="connsiteX324" fmla="*/ 571500 w 3893634"/>
                  <a:gd name="connsiteY324" fmla="*/ 3772829 h 3926159"/>
                  <a:gd name="connsiteX325" fmla="*/ 566854 w 3893634"/>
                  <a:gd name="connsiteY325" fmla="*/ 3786769 h 3926159"/>
                  <a:gd name="connsiteX326" fmla="*/ 552915 w 3893634"/>
                  <a:gd name="connsiteY326" fmla="*/ 3796061 h 3926159"/>
                  <a:gd name="connsiteX327" fmla="*/ 525037 w 3893634"/>
                  <a:gd name="connsiteY327" fmla="*/ 3805354 h 3926159"/>
                  <a:gd name="connsiteX328" fmla="*/ 520391 w 3893634"/>
                  <a:gd name="connsiteY328" fmla="*/ 3819293 h 3926159"/>
                  <a:gd name="connsiteX329" fmla="*/ 501805 w 3893634"/>
                  <a:gd name="connsiteY329" fmla="*/ 3847171 h 3926159"/>
                  <a:gd name="connsiteX330" fmla="*/ 487866 w 3893634"/>
                  <a:gd name="connsiteY330" fmla="*/ 3856464 h 3926159"/>
                  <a:gd name="connsiteX331" fmla="*/ 473927 w 3893634"/>
                  <a:gd name="connsiteY331" fmla="*/ 3861110 h 3926159"/>
                  <a:gd name="connsiteX332" fmla="*/ 343830 w 3893634"/>
                  <a:gd name="connsiteY332" fmla="*/ 3865756 h 3926159"/>
                  <a:gd name="connsiteX333" fmla="*/ 329891 w 3893634"/>
                  <a:gd name="connsiteY333" fmla="*/ 3875049 h 3926159"/>
                  <a:gd name="connsiteX334" fmla="*/ 315952 w 3893634"/>
                  <a:gd name="connsiteY334" fmla="*/ 3879695 h 3926159"/>
                  <a:gd name="connsiteX335" fmla="*/ 292720 w 3893634"/>
                  <a:gd name="connsiteY335" fmla="*/ 3898281 h 3926159"/>
                  <a:gd name="connsiteX336" fmla="*/ 283427 w 3893634"/>
                  <a:gd name="connsiteY336" fmla="*/ 3912220 h 3926159"/>
                  <a:gd name="connsiteX337" fmla="*/ 241610 w 3893634"/>
                  <a:gd name="connsiteY337" fmla="*/ 3912220 h 3926159"/>
                  <a:gd name="connsiteX338" fmla="*/ 232317 w 3893634"/>
                  <a:gd name="connsiteY338" fmla="*/ 3898281 h 3926159"/>
                  <a:gd name="connsiteX339" fmla="*/ 218378 w 3893634"/>
                  <a:gd name="connsiteY339" fmla="*/ 3870403 h 3926159"/>
                  <a:gd name="connsiteX340" fmla="*/ 190500 w 3893634"/>
                  <a:gd name="connsiteY340" fmla="*/ 3851817 h 3926159"/>
                  <a:gd name="connsiteX341" fmla="*/ 162622 w 3893634"/>
                  <a:gd name="connsiteY341" fmla="*/ 3833232 h 3926159"/>
                  <a:gd name="connsiteX342" fmla="*/ 148683 w 3893634"/>
                  <a:gd name="connsiteY342" fmla="*/ 3828586 h 3926159"/>
                  <a:gd name="connsiteX343" fmla="*/ 116159 w 3893634"/>
                  <a:gd name="connsiteY343" fmla="*/ 3833232 h 3926159"/>
                  <a:gd name="connsiteX344" fmla="*/ 102220 w 3893634"/>
                  <a:gd name="connsiteY344" fmla="*/ 3837878 h 3926159"/>
                  <a:gd name="connsiteX345" fmla="*/ 46464 w 3893634"/>
                  <a:gd name="connsiteY345" fmla="*/ 3833232 h 3926159"/>
                  <a:gd name="connsiteX346" fmla="*/ 51110 w 3893634"/>
                  <a:gd name="connsiteY346" fmla="*/ 3786769 h 3926159"/>
                  <a:gd name="connsiteX347" fmla="*/ 60403 w 3893634"/>
                  <a:gd name="connsiteY347" fmla="*/ 3758890 h 3926159"/>
                  <a:gd name="connsiteX348" fmla="*/ 27878 w 3893634"/>
                  <a:gd name="connsiteY348" fmla="*/ 3735659 h 3926159"/>
                  <a:gd name="connsiteX349" fmla="*/ 13939 w 3893634"/>
                  <a:gd name="connsiteY349" fmla="*/ 3731012 h 3926159"/>
                  <a:gd name="connsiteX350" fmla="*/ 9293 w 3893634"/>
                  <a:gd name="connsiteY350" fmla="*/ 3712427 h 3926159"/>
                  <a:gd name="connsiteX351" fmla="*/ 0 w 3893634"/>
                  <a:gd name="connsiteY351" fmla="*/ 3684549 h 3926159"/>
                  <a:gd name="connsiteX352" fmla="*/ 23232 w 3893634"/>
                  <a:gd name="connsiteY352" fmla="*/ 3642732 h 3926159"/>
                  <a:gd name="connsiteX353" fmla="*/ 32525 w 3893634"/>
                  <a:gd name="connsiteY353" fmla="*/ 3628793 h 3926159"/>
                  <a:gd name="connsiteX354" fmla="*/ 55756 w 3893634"/>
                  <a:gd name="connsiteY354" fmla="*/ 3559098 h 3926159"/>
                  <a:gd name="connsiteX355" fmla="*/ 60403 w 3893634"/>
                  <a:gd name="connsiteY355" fmla="*/ 3545159 h 3926159"/>
                  <a:gd name="connsiteX356" fmla="*/ 65049 w 3893634"/>
                  <a:gd name="connsiteY356" fmla="*/ 3531220 h 3926159"/>
                  <a:gd name="connsiteX357" fmla="*/ 60403 w 3893634"/>
                  <a:gd name="connsiteY357" fmla="*/ 3433647 h 3926159"/>
                  <a:gd name="connsiteX358" fmla="*/ 55756 w 3893634"/>
                  <a:gd name="connsiteY358" fmla="*/ 3419708 h 3926159"/>
                  <a:gd name="connsiteX359" fmla="*/ 46464 w 3893634"/>
                  <a:gd name="connsiteY359" fmla="*/ 3405769 h 3926159"/>
                  <a:gd name="connsiteX360" fmla="*/ 37171 w 3893634"/>
                  <a:gd name="connsiteY360" fmla="*/ 3373244 h 3926159"/>
                  <a:gd name="connsiteX361" fmla="*/ 27878 w 3893634"/>
                  <a:gd name="connsiteY361" fmla="*/ 3359305 h 3926159"/>
                  <a:gd name="connsiteX362" fmla="*/ 32525 w 3893634"/>
                  <a:gd name="connsiteY362" fmla="*/ 3331427 h 3926159"/>
                  <a:gd name="connsiteX363" fmla="*/ 65049 w 3893634"/>
                  <a:gd name="connsiteY363" fmla="*/ 3326781 h 3926159"/>
                  <a:gd name="connsiteX364" fmla="*/ 78988 w 3893634"/>
                  <a:gd name="connsiteY364" fmla="*/ 3322134 h 3926159"/>
                  <a:gd name="connsiteX365" fmla="*/ 83634 w 3893634"/>
                  <a:gd name="connsiteY365" fmla="*/ 3308195 h 3926159"/>
                  <a:gd name="connsiteX366" fmla="*/ 111513 w 3893634"/>
                  <a:gd name="connsiteY366" fmla="*/ 3322134 h 3926159"/>
                  <a:gd name="connsiteX367" fmla="*/ 232317 w 3893634"/>
                  <a:gd name="connsiteY367" fmla="*/ 3326781 h 3926159"/>
                  <a:gd name="connsiteX368" fmla="*/ 260195 w 3893634"/>
                  <a:gd name="connsiteY368" fmla="*/ 3331427 h 3926159"/>
                  <a:gd name="connsiteX369" fmla="*/ 311305 w 3893634"/>
                  <a:gd name="connsiteY369" fmla="*/ 3336073 h 3926159"/>
                  <a:gd name="connsiteX370" fmla="*/ 325244 w 3893634"/>
                  <a:gd name="connsiteY370" fmla="*/ 3340720 h 3926159"/>
                  <a:gd name="connsiteX371" fmla="*/ 343830 w 3893634"/>
                  <a:gd name="connsiteY371" fmla="*/ 3345366 h 3926159"/>
                  <a:gd name="connsiteX372" fmla="*/ 390293 w 3893634"/>
                  <a:gd name="connsiteY372" fmla="*/ 3350012 h 3926159"/>
                  <a:gd name="connsiteX373" fmla="*/ 501805 w 3893634"/>
                  <a:gd name="connsiteY373" fmla="*/ 3345366 h 3926159"/>
                  <a:gd name="connsiteX374" fmla="*/ 515744 w 3893634"/>
                  <a:gd name="connsiteY374" fmla="*/ 3340720 h 3926159"/>
                  <a:gd name="connsiteX375" fmla="*/ 529683 w 3893634"/>
                  <a:gd name="connsiteY375" fmla="*/ 3331427 h 3926159"/>
                  <a:gd name="connsiteX376" fmla="*/ 534330 w 3893634"/>
                  <a:gd name="connsiteY376" fmla="*/ 3317488 h 3926159"/>
                  <a:gd name="connsiteX377" fmla="*/ 543622 w 3893634"/>
                  <a:gd name="connsiteY377" fmla="*/ 3284964 h 3926159"/>
                  <a:gd name="connsiteX378" fmla="*/ 548269 w 3893634"/>
                  <a:gd name="connsiteY378" fmla="*/ 3196683 h 3926159"/>
                  <a:gd name="connsiteX379" fmla="*/ 557561 w 3893634"/>
                  <a:gd name="connsiteY379" fmla="*/ 3168805 h 3926159"/>
                  <a:gd name="connsiteX380" fmla="*/ 552915 w 3893634"/>
                  <a:gd name="connsiteY380" fmla="*/ 3113049 h 3926159"/>
                  <a:gd name="connsiteX381" fmla="*/ 548269 w 3893634"/>
                  <a:gd name="connsiteY381" fmla="*/ 3099110 h 3926159"/>
                  <a:gd name="connsiteX382" fmla="*/ 534330 w 3893634"/>
                  <a:gd name="connsiteY382" fmla="*/ 3089817 h 3926159"/>
                  <a:gd name="connsiteX383" fmla="*/ 506452 w 3893634"/>
                  <a:gd name="connsiteY383" fmla="*/ 3048000 h 3926159"/>
                  <a:gd name="connsiteX384" fmla="*/ 497159 w 3893634"/>
                  <a:gd name="connsiteY384" fmla="*/ 3020122 h 3926159"/>
                  <a:gd name="connsiteX385" fmla="*/ 492513 w 3893634"/>
                  <a:gd name="connsiteY385" fmla="*/ 2987598 h 3926159"/>
                  <a:gd name="connsiteX386" fmla="*/ 455342 w 3893634"/>
                  <a:gd name="connsiteY386" fmla="*/ 2973659 h 3926159"/>
                  <a:gd name="connsiteX387" fmla="*/ 441403 w 3893634"/>
                  <a:gd name="connsiteY387" fmla="*/ 2964366 h 3926159"/>
                  <a:gd name="connsiteX388" fmla="*/ 394939 w 3893634"/>
                  <a:gd name="connsiteY388" fmla="*/ 2955073 h 3926159"/>
                  <a:gd name="connsiteX389" fmla="*/ 357769 w 3893634"/>
                  <a:gd name="connsiteY389" fmla="*/ 2945781 h 3926159"/>
                  <a:gd name="connsiteX390" fmla="*/ 343830 w 3893634"/>
                  <a:gd name="connsiteY390" fmla="*/ 2936488 h 3926159"/>
                  <a:gd name="connsiteX391" fmla="*/ 325244 w 3893634"/>
                  <a:gd name="connsiteY391" fmla="*/ 2917903 h 3926159"/>
                  <a:gd name="connsiteX392" fmla="*/ 315952 w 3893634"/>
                  <a:gd name="connsiteY392" fmla="*/ 2880732 h 3926159"/>
                  <a:gd name="connsiteX393" fmla="*/ 413525 w 3893634"/>
                  <a:gd name="connsiteY393" fmla="*/ 2852854 h 3926159"/>
                  <a:gd name="connsiteX394" fmla="*/ 459988 w 3893634"/>
                  <a:gd name="connsiteY394" fmla="*/ 2876086 h 3926159"/>
                  <a:gd name="connsiteX395" fmla="*/ 525037 w 3893634"/>
                  <a:gd name="connsiteY395" fmla="*/ 2876086 h 3926159"/>
                  <a:gd name="connsiteX396" fmla="*/ 534330 w 3893634"/>
                  <a:gd name="connsiteY396" fmla="*/ 2862147 h 3926159"/>
                  <a:gd name="connsiteX397" fmla="*/ 511098 w 3893634"/>
                  <a:gd name="connsiteY397" fmla="*/ 2824976 h 3926159"/>
                  <a:gd name="connsiteX398" fmla="*/ 501805 w 3893634"/>
                  <a:gd name="connsiteY398" fmla="*/ 2797098 h 3926159"/>
                  <a:gd name="connsiteX399" fmla="*/ 497159 w 3893634"/>
                  <a:gd name="connsiteY399" fmla="*/ 2783159 h 3926159"/>
                  <a:gd name="connsiteX400" fmla="*/ 501805 w 3893634"/>
                  <a:gd name="connsiteY400" fmla="*/ 2769220 h 3926159"/>
                  <a:gd name="connsiteX401" fmla="*/ 552915 w 3893634"/>
                  <a:gd name="connsiteY401" fmla="*/ 2769220 h 3926159"/>
                  <a:gd name="connsiteX402" fmla="*/ 562208 w 3893634"/>
                  <a:gd name="connsiteY402" fmla="*/ 2783159 h 3926159"/>
                  <a:gd name="connsiteX403" fmla="*/ 566854 w 3893634"/>
                  <a:gd name="connsiteY403" fmla="*/ 2797098 h 3926159"/>
                  <a:gd name="connsiteX404" fmla="*/ 645842 w 3893634"/>
                  <a:gd name="connsiteY404" fmla="*/ 2811037 h 3926159"/>
                  <a:gd name="connsiteX405" fmla="*/ 655134 w 3893634"/>
                  <a:gd name="connsiteY405" fmla="*/ 2797098 h 3926159"/>
                  <a:gd name="connsiteX406" fmla="*/ 678366 w 3893634"/>
                  <a:gd name="connsiteY406" fmla="*/ 2755281 h 3926159"/>
                  <a:gd name="connsiteX407" fmla="*/ 706244 w 3893634"/>
                  <a:gd name="connsiteY407" fmla="*/ 2741342 h 3926159"/>
                  <a:gd name="connsiteX408" fmla="*/ 724830 w 3893634"/>
                  <a:gd name="connsiteY408" fmla="*/ 2685586 h 3926159"/>
                  <a:gd name="connsiteX409" fmla="*/ 729476 w 3893634"/>
                  <a:gd name="connsiteY409" fmla="*/ 2662354 h 3926159"/>
                  <a:gd name="connsiteX410" fmla="*/ 734122 w 3893634"/>
                  <a:gd name="connsiteY410" fmla="*/ 2648415 h 3926159"/>
                  <a:gd name="connsiteX411" fmla="*/ 789878 w 3893634"/>
                  <a:gd name="connsiteY411" fmla="*/ 2620537 h 3926159"/>
                  <a:gd name="connsiteX412" fmla="*/ 845634 w 3893634"/>
                  <a:gd name="connsiteY412" fmla="*/ 2601951 h 3926159"/>
                  <a:gd name="connsiteX413" fmla="*/ 882805 w 3893634"/>
                  <a:gd name="connsiteY413" fmla="*/ 2592659 h 3926159"/>
                  <a:gd name="connsiteX414" fmla="*/ 896744 w 3893634"/>
                  <a:gd name="connsiteY414" fmla="*/ 2588012 h 3926159"/>
                  <a:gd name="connsiteX415" fmla="*/ 924622 w 3893634"/>
                  <a:gd name="connsiteY415" fmla="*/ 2583366 h 3926159"/>
                  <a:gd name="connsiteX416" fmla="*/ 910683 w 3893634"/>
                  <a:gd name="connsiteY416" fmla="*/ 2574073 h 3926159"/>
                  <a:gd name="connsiteX417" fmla="*/ 896744 w 3893634"/>
                  <a:gd name="connsiteY417" fmla="*/ 2546195 h 3926159"/>
                  <a:gd name="connsiteX418" fmla="*/ 906037 w 3893634"/>
                  <a:gd name="connsiteY418" fmla="*/ 2518317 h 3926159"/>
                  <a:gd name="connsiteX419" fmla="*/ 910683 w 3893634"/>
                  <a:gd name="connsiteY419" fmla="*/ 2504378 h 3926159"/>
                  <a:gd name="connsiteX420" fmla="*/ 919976 w 3893634"/>
                  <a:gd name="connsiteY420" fmla="*/ 2490439 h 3926159"/>
                  <a:gd name="connsiteX421" fmla="*/ 943208 w 3893634"/>
                  <a:gd name="connsiteY421" fmla="*/ 2457915 h 3926159"/>
                  <a:gd name="connsiteX422" fmla="*/ 961793 w 3893634"/>
                  <a:gd name="connsiteY422" fmla="*/ 2481147 h 3926159"/>
                  <a:gd name="connsiteX423" fmla="*/ 966439 w 3893634"/>
                  <a:gd name="connsiteY423" fmla="*/ 2499732 h 3926159"/>
                  <a:gd name="connsiteX424" fmla="*/ 961793 w 3893634"/>
                  <a:gd name="connsiteY424" fmla="*/ 2462561 h 3926159"/>
                  <a:gd name="connsiteX425" fmla="*/ 961793 w 3893634"/>
                  <a:gd name="connsiteY425" fmla="*/ 2425390 h 3926159"/>
                  <a:gd name="connsiteX426" fmla="*/ 985025 w 3893634"/>
                  <a:gd name="connsiteY426" fmla="*/ 2402159 h 3926159"/>
                  <a:gd name="connsiteX427" fmla="*/ 1012903 w 3893634"/>
                  <a:gd name="connsiteY427" fmla="*/ 2392866 h 3926159"/>
                  <a:gd name="connsiteX428" fmla="*/ 1040781 w 3893634"/>
                  <a:gd name="connsiteY428" fmla="*/ 2402159 h 3926159"/>
                  <a:gd name="connsiteX429" fmla="*/ 1054720 w 3893634"/>
                  <a:gd name="connsiteY429" fmla="*/ 2406805 h 3926159"/>
                  <a:gd name="connsiteX430" fmla="*/ 1073305 w 3893634"/>
                  <a:gd name="connsiteY430" fmla="*/ 2388220 h 3926159"/>
                  <a:gd name="connsiteX431" fmla="*/ 1087244 w 3893634"/>
                  <a:gd name="connsiteY431" fmla="*/ 2383573 h 3926159"/>
                  <a:gd name="connsiteX432" fmla="*/ 1101183 w 3893634"/>
                  <a:gd name="connsiteY432" fmla="*/ 2374281 h 3926159"/>
                  <a:gd name="connsiteX433" fmla="*/ 1170878 w 3893634"/>
                  <a:gd name="connsiteY433" fmla="*/ 2374281 h 3926159"/>
                  <a:gd name="connsiteX434" fmla="*/ 1175525 w 3893634"/>
                  <a:gd name="connsiteY434" fmla="*/ 2355695 h 3926159"/>
                  <a:gd name="connsiteX435" fmla="*/ 1175525 w 3893634"/>
                  <a:gd name="connsiteY435" fmla="*/ 2276708 h 3926159"/>
                  <a:gd name="connsiteX436" fmla="*/ 1170878 w 3893634"/>
                  <a:gd name="connsiteY436" fmla="*/ 2197720 h 3926159"/>
                  <a:gd name="connsiteX437" fmla="*/ 1156939 w 3893634"/>
                  <a:gd name="connsiteY437" fmla="*/ 2193073 h 3926159"/>
                  <a:gd name="connsiteX438" fmla="*/ 1143000 w 3893634"/>
                  <a:gd name="connsiteY438" fmla="*/ 2183781 h 3926159"/>
                  <a:gd name="connsiteX439" fmla="*/ 1133708 w 3893634"/>
                  <a:gd name="connsiteY439" fmla="*/ 2169842 h 3926159"/>
                  <a:gd name="connsiteX440" fmla="*/ 1133708 w 3893634"/>
                  <a:gd name="connsiteY440" fmla="*/ 2053683 h 3926159"/>
                  <a:gd name="connsiteX441" fmla="*/ 1156939 w 3893634"/>
                  <a:gd name="connsiteY441" fmla="*/ 2011866 h 3926159"/>
                  <a:gd name="connsiteX442" fmla="*/ 1184817 w 3893634"/>
                  <a:gd name="connsiteY442" fmla="*/ 2002573 h 3926159"/>
                  <a:gd name="connsiteX443" fmla="*/ 1198756 w 3893634"/>
                  <a:gd name="connsiteY443" fmla="*/ 1993281 h 3926159"/>
                  <a:gd name="connsiteX444" fmla="*/ 1226634 w 3893634"/>
                  <a:gd name="connsiteY444" fmla="*/ 1983988 h 3926159"/>
                  <a:gd name="connsiteX445" fmla="*/ 1254513 w 3893634"/>
                  <a:gd name="connsiteY445" fmla="*/ 1965403 h 3926159"/>
                  <a:gd name="connsiteX446" fmla="*/ 1277744 w 3893634"/>
                  <a:gd name="connsiteY446" fmla="*/ 1946817 h 3926159"/>
                  <a:gd name="connsiteX447" fmla="*/ 1291683 w 3893634"/>
                  <a:gd name="connsiteY447" fmla="*/ 1951464 h 3926159"/>
                  <a:gd name="connsiteX448" fmla="*/ 1287037 w 3893634"/>
                  <a:gd name="connsiteY448" fmla="*/ 1993281 h 3926159"/>
                  <a:gd name="connsiteX449" fmla="*/ 1277744 w 3893634"/>
                  <a:gd name="connsiteY449" fmla="*/ 2021159 h 3926159"/>
                  <a:gd name="connsiteX450" fmla="*/ 1273098 w 3893634"/>
                  <a:gd name="connsiteY450" fmla="*/ 2035098 h 3926159"/>
                  <a:gd name="connsiteX451" fmla="*/ 1268452 w 3893634"/>
                  <a:gd name="connsiteY451" fmla="*/ 2049037 h 3926159"/>
                  <a:gd name="connsiteX452" fmla="*/ 1263805 w 3893634"/>
                  <a:gd name="connsiteY452" fmla="*/ 2062976 h 3926159"/>
                  <a:gd name="connsiteX453" fmla="*/ 1277744 w 3893634"/>
                  <a:gd name="connsiteY453" fmla="*/ 2072269 h 3926159"/>
                  <a:gd name="connsiteX454" fmla="*/ 1291683 w 3893634"/>
                  <a:gd name="connsiteY454" fmla="*/ 2076915 h 3926159"/>
                  <a:gd name="connsiteX455" fmla="*/ 1296330 w 3893634"/>
                  <a:gd name="connsiteY455" fmla="*/ 2090854 h 3926159"/>
                  <a:gd name="connsiteX456" fmla="*/ 1291683 w 3893634"/>
                  <a:gd name="connsiteY456" fmla="*/ 2118732 h 3926159"/>
                  <a:gd name="connsiteX457" fmla="*/ 1263805 w 3893634"/>
                  <a:gd name="connsiteY457" fmla="*/ 2137317 h 3926159"/>
                  <a:gd name="connsiteX458" fmla="*/ 1254513 w 3893634"/>
                  <a:gd name="connsiteY458" fmla="*/ 2151256 h 3926159"/>
                  <a:gd name="connsiteX459" fmla="*/ 1231281 w 3893634"/>
                  <a:gd name="connsiteY459" fmla="*/ 2179134 h 3926159"/>
                  <a:gd name="connsiteX460" fmla="*/ 1226634 w 3893634"/>
                  <a:gd name="connsiteY460" fmla="*/ 2193073 h 3926159"/>
                  <a:gd name="connsiteX461" fmla="*/ 1231281 w 3893634"/>
                  <a:gd name="connsiteY461" fmla="*/ 2253476 h 3926159"/>
                  <a:gd name="connsiteX462" fmla="*/ 1235927 w 3893634"/>
                  <a:gd name="connsiteY462" fmla="*/ 2295293 h 3926159"/>
                  <a:gd name="connsiteX463" fmla="*/ 1249866 w 3893634"/>
                  <a:gd name="connsiteY463" fmla="*/ 2299939 h 3926159"/>
                  <a:gd name="connsiteX464" fmla="*/ 1277744 w 3893634"/>
                  <a:gd name="connsiteY464" fmla="*/ 2318525 h 3926159"/>
                  <a:gd name="connsiteX465" fmla="*/ 1291683 w 3893634"/>
                  <a:gd name="connsiteY465" fmla="*/ 2327817 h 3926159"/>
                  <a:gd name="connsiteX466" fmla="*/ 1319561 w 3893634"/>
                  <a:gd name="connsiteY466" fmla="*/ 2332464 h 3926159"/>
                  <a:gd name="connsiteX467" fmla="*/ 1328854 w 3893634"/>
                  <a:gd name="connsiteY467" fmla="*/ 2346403 h 3926159"/>
                  <a:gd name="connsiteX468" fmla="*/ 1366025 w 3893634"/>
                  <a:gd name="connsiteY468" fmla="*/ 2346403 h 3926159"/>
                  <a:gd name="connsiteX469" fmla="*/ 1379964 w 3893634"/>
                  <a:gd name="connsiteY469" fmla="*/ 2332464 h 3926159"/>
                  <a:gd name="connsiteX470" fmla="*/ 1407842 w 3893634"/>
                  <a:gd name="connsiteY470" fmla="*/ 2323171 h 3926159"/>
                  <a:gd name="connsiteX471" fmla="*/ 1463598 w 3893634"/>
                  <a:gd name="connsiteY471" fmla="*/ 2327817 h 3926159"/>
                  <a:gd name="connsiteX472" fmla="*/ 1491476 w 3893634"/>
                  <a:gd name="connsiteY472" fmla="*/ 2346403 h 3926159"/>
                  <a:gd name="connsiteX473" fmla="*/ 1505415 w 3893634"/>
                  <a:gd name="connsiteY473" fmla="*/ 2355695 h 3926159"/>
                  <a:gd name="connsiteX474" fmla="*/ 1514708 w 3893634"/>
                  <a:gd name="connsiteY474" fmla="*/ 2369634 h 3926159"/>
                  <a:gd name="connsiteX475" fmla="*/ 1556525 w 3893634"/>
                  <a:gd name="connsiteY475" fmla="*/ 2355695 h 3926159"/>
                  <a:gd name="connsiteX476" fmla="*/ 1570464 w 3893634"/>
                  <a:gd name="connsiteY476" fmla="*/ 2341756 h 3926159"/>
                  <a:gd name="connsiteX477" fmla="*/ 1589049 w 3893634"/>
                  <a:gd name="connsiteY477" fmla="*/ 2337110 h 3926159"/>
                  <a:gd name="connsiteX478" fmla="*/ 1602988 w 3893634"/>
                  <a:gd name="connsiteY478" fmla="*/ 2332464 h 3926159"/>
                  <a:gd name="connsiteX479" fmla="*/ 1644805 w 3893634"/>
                  <a:gd name="connsiteY479" fmla="*/ 2313878 h 3926159"/>
                  <a:gd name="connsiteX480" fmla="*/ 1663391 w 3893634"/>
                  <a:gd name="connsiteY480" fmla="*/ 2304586 h 3926159"/>
                  <a:gd name="connsiteX481" fmla="*/ 1691269 w 3893634"/>
                  <a:gd name="connsiteY481" fmla="*/ 2295293 h 3926159"/>
                  <a:gd name="connsiteX482" fmla="*/ 1700561 w 3893634"/>
                  <a:gd name="connsiteY482" fmla="*/ 2281354 h 3926159"/>
                  <a:gd name="connsiteX483" fmla="*/ 1714500 w 3893634"/>
                  <a:gd name="connsiteY483" fmla="*/ 2276708 h 3926159"/>
                  <a:gd name="connsiteX484" fmla="*/ 1742378 w 3893634"/>
                  <a:gd name="connsiteY484" fmla="*/ 2262769 h 3926159"/>
                  <a:gd name="connsiteX485" fmla="*/ 1765610 w 3893634"/>
                  <a:gd name="connsiteY485" fmla="*/ 2267415 h 3926159"/>
                  <a:gd name="connsiteX486" fmla="*/ 1793488 w 3893634"/>
                  <a:gd name="connsiteY486" fmla="*/ 2276708 h 3926159"/>
                  <a:gd name="connsiteX487" fmla="*/ 1807427 w 3893634"/>
                  <a:gd name="connsiteY487" fmla="*/ 2290647 h 3926159"/>
                  <a:gd name="connsiteX488" fmla="*/ 1821366 w 3893634"/>
                  <a:gd name="connsiteY488" fmla="*/ 2299939 h 3926159"/>
                  <a:gd name="connsiteX489" fmla="*/ 1844598 w 3893634"/>
                  <a:gd name="connsiteY489" fmla="*/ 2318525 h 3926159"/>
                  <a:gd name="connsiteX490" fmla="*/ 1853891 w 3893634"/>
                  <a:gd name="connsiteY490" fmla="*/ 2304586 h 3926159"/>
                  <a:gd name="connsiteX491" fmla="*/ 1867830 w 3893634"/>
                  <a:gd name="connsiteY491" fmla="*/ 2299939 h 3926159"/>
                  <a:gd name="connsiteX492" fmla="*/ 1886415 w 3893634"/>
                  <a:gd name="connsiteY492" fmla="*/ 2281354 h 3926159"/>
                  <a:gd name="connsiteX493" fmla="*/ 1918939 w 3893634"/>
                  <a:gd name="connsiteY493" fmla="*/ 2248829 h 3926159"/>
                  <a:gd name="connsiteX494" fmla="*/ 1946817 w 3893634"/>
                  <a:gd name="connsiteY494" fmla="*/ 2239537 h 3926159"/>
                  <a:gd name="connsiteX495" fmla="*/ 1960756 w 3893634"/>
                  <a:gd name="connsiteY495" fmla="*/ 2234890 h 3926159"/>
                  <a:gd name="connsiteX496" fmla="*/ 1983988 w 3893634"/>
                  <a:gd name="connsiteY496" fmla="*/ 2193073 h 3926159"/>
                  <a:gd name="connsiteX497" fmla="*/ 1983988 w 3893634"/>
                  <a:gd name="connsiteY497" fmla="*/ 1988634 h 3926159"/>
                  <a:gd name="connsiteX498" fmla="*/ 1988634 w 3893634"/>
                  <a:gd name="connsiteY498" fmla="*/ 1974695 h 3926159"/>
                  <a:gd name="connsiteX499" fmla="*/ 2025805 w 3893634"/>
                  <a:gd name="connsiteY499" fmla="*/ 1942171 h 3926159"/>
                  <a:gd name="connsiteX500" fmla="*/ 2039744 w 3893634"/>
                  <a:gd name="connsiteY500" fmla="*/ 1932878 h 3926159"/>
                  <a:gd name="connsiteX501" fmla="*/ 2058330 w 3893634"/>
                  <a:gd name="connsiteY501" fmla="*/ 1942171 h 3926159"/>
                  <a:gd name="connsiteX502" fmla="*/ 2072269 w 3893634"/>
                  <a:gd name="connsiteY502" fmla="*/ 1946817 h 3926159"/>
                  <a:gd name="connsiteX503" fmla="*/ 2095500 w 3893634"/>
                  <a:gd name="connsiteY503" fmla="*/ 1965403 h 3926159"/>
                  <a:gd name="connsiteX504" fmla="*/ 2104793 w 3893634"/>
                  <a:gd name="connsiteY504" fmla="*/ 1979342 h 3926159"/>
                  <a:gd name="connsiteX505" fmla="*/ 2132671 w 3893634"/>
                  <a:gd name="connsiteY505" fmla="*/ 1993281 h 3926159"/>
                  <a:gd name="connsiteX506" fmla="*/ 2146610 w 3893634"/>
                  <a:gd name="connsiteY506" fmla="*/ 2002573 h 3926159"/>
                  <a:gd name="connsiteX507" fmla="*/ 2183781 w 3893634"/>
                  <a:gd name="connsiteY507" fmla="*/ 1970049 h 3926159"/>
                  <a:gd name="connsiteX508" fmla="*/ 2193073 w 3893634"/>
                  <a:gd name="connsiteY508" fmla="*/ 1942171 h 3926159"/>
                  <a:gd name="connsiteX509" fmla="*/ 2197720 w 3893634"/>
                  <a:gd name="connsiteY509" fmla="*/ 1928232 h 3926159"/>
                  <a:gd name="connsiteX510" fmla="*/ 2202366 w 3893634"/>
                  <a:gd name="connsiteY510" fmla="*/ 1905000 h 3926159"/>
                  <a:gd name="connsiteX511" fmla="*/ 2197720 w 3893634"/>
                  <a:gd name="connsiteY511" fmla="*/ 1877122 h 3926159"/>
                  <a:gd name="connsiteX512" fmla="*/ 2169842 w 3893634"/>
                  <a:gd name="connsiteY512" fmla="*/ 1867829 h 3926159"/>
                  <a:gd name="connsiteX513" fmla="*/ 2160549 w 3893634"/>
                  <a:gd name="connsiteY513" fmla="*/ 1853890 h 3926159"/>
                  <a:gd name="connsiteX514" fmla="*/ 2146610 w 3893634"/>
                  <a:gd name="connsiteY514" fmla="*/ 1849244 h 3926159"/>
                  <a:gd name="connsiteX515" fmla="*/ 2141964 w 3893634"/>
                  <a:gd name="connsiteY515" fmla="*/ 1835305 h 3926159"/>
                  <a:gd name="connsiteX516" fmla="*/ 2132671 w 3893634"/>
                  <a:gd name="connsiteY516" fmla="*/ 1821366 h 3926159"/>
                  <a:gd name="connsiteX517" fmla="*/ 2132671 w 3893634"/>
                  <a:gd name="connsiteY517" fmla="*/ 1765610 h 3926159"/>
                  <a:gd name="connsiteX518" fmla="*/ 2137317 w 3893634"/>
                  <a:gd name="connsiteY518" fmla="*/ 1751671 h 3926159"/>
                  <a:gd name="connsiteX519" fmla="*/ 2151256 w 3893634"/>
                  <a:gd name="connsiteY519" fmla="*/ 1747025 h 3926159"/>
                  <a:gd name="connsiteX520" fmla="*/ 2160549 w 3893634"/>
                  <a:gd name="connsiteY520" fmla="*/ 1733086 h 3926159"/>
                  <a:gd name="connsiteX521" fmla="*/ 2207013 w 3893634"/>
                  <a:gd name="connsiteY521" fmla="*/ 1714500 h 3926159"/>
                  <a:gd name="connsiteX522" fmla="*/ 2220952 w 3893634"/>
                  <a:gd name="connsiteY522" fmla="*/ 1709854 h 3926159"/>
                  <a:gd name="connsiteX523" fmla="*/ 2304586 w 3893634"/>
                  <a:gd name="connsiteY523" fmla="*/ 1714500 h 3926159"/>
                  <a:gd name="connsiteX524" fmla="*/ 2355695 w 3893634"/>
                  <a:gd name="connsiteY524" fmla="*/ 1719147 h 3926159"/>
                  <a:gd name="connsiteX525" fmla="*/ 2430037 w 3893634"/>
                  <a:gd name="connsiteY525" fmla="*/ 1714500 h 3926159"/>
                  <a:gd name="connsiteX526" fmla="*/ 2434683 w 3893634"/>
                  <a:gd name="connsiteY526" fmla="*/ 1700561 h 3926159"/>
                  <a:gd name="connsiteX527" fmla="*/ 2448622 w 3893634"/>
                  <a:gd name="connsiteY527" fmla="*/ 1691269 h 3926159"/>
                  <a:gd name="connsiteX528" fmla="*/ 2509025 w 3893634"/>
                  <a:gd name="connsiteY528" fmla="*/ 1681976 h 3926159"/>
                  <a:gd name="connsiteX529" fmla="*/ 2546195 w 3893634"/>
                  <a:gd name="connsiteY529" fmla="*/ 1658744 h 3926159"/>
                  <a:gd name="connsiteX530" fmla="*/ 2541549 w 3893634"/>
                  <a:gd name="connsiteY530" fmla="*/ 1644805 h 3926159"/>
                  <a:gd name="connsiteX531" fmla="*/ 2476500 w 3893634"/>
                  <a:gd name="connsiteY531" fmla="*/ 1630866 h 3926159"/>
                  <a:gd name="connsiteX532" fmla="*/ 2448622 w 3893634"/>
                  <a:gd name="connsiteY532" fmla="*/ 1621573 h 3926159"/>
                  <a:gd name="connsiteX533" fmla="*/ 2439330 w 3893634"/>
                  <a:gd name="connsiteY533" fmla="*/ 1589049 h 3926159"/>
                  <a:gd name="connsiteX534" fmla="*/ 2425391 w 3893634"/>
                  <a:gd name="connsiteY534" fmla="*/ 1584403 h 3926159"/>
                  <a:gd name="connsiteX535" fmla="*/ 2402159 w 3893634"/>
                  <a:gd name="connsiteY535" fmla="*/ 1589049 h 3926159"/>
                  <a:gd name="connsiteX536" fmla="*/ 2388220 w 3893634"/>
                  <a:gd name="connsiteY536" fmla="*/ 1593695 h 3926159"/>
                  <a:gd name="connsiteX537" fmla="*/ 2351049 w 3893634"/>
                  <a:gd name="connsiteY537" fmla="*/ 1602988 h 3926159"/>
                  <a:gd name="connsiteX538" fmla="*/ 2337110 w 3893634"/>
                  <a:gd name="connsiteY538" fmla="*/ 1607634 h 3926159"/>
                  <a:gd name="connsiteX539" fmla="*/ 2309232 w 3893634"/>
                  <a:gd name="connsiteY539" fmla="*/ 1612281 h 3926159"/>
                  <a:gd name="connsiteX540" fmla="*/ 2290647 w 3893634"/>
                  <a:gd name="connsiteY540" fmla="*/ 1616927 h 3926159"/>
                  <a:gd name="connsiteX541" fmla="*/ 2276708 w 3893634"/>
                  <a:gd name="connsiteY541" fmla="*/ 1621573 h 3926159"/>
                  <a:gd name="connsiteX542" fmla="*/ 2248830 w 3893634"/>
                  <a:gd name="connsiteY542" fmla="*/ 1626220 h 3926159"/>
                  <a:gd name="connsiteX543" fmla="*/ 2220952 w 3893634"/>
                  <a:gd name="connsiteY543" fmla="*/ 1635512 h 3926159"/>
                  <a:gd name="connsiteX544" fmla="*/ 2202366 w 3893634"/>
                  <a:gd name="connsiteY544" fmla="*/ 1640159 h 3926159"/>
                  <a:gd name="connsiteX545" fmla="*/ 2104793 w 3893634"/>
                  <a:gd name="connsiteY545" fmla="*/ 1654098 h 3926159"/>
                  <a:gd name="connsiteX546" fmla="*/ 2090854 w 3893634"/>
                  <a:gd name="connsiteY546" fmla="*/ 1640159 h 3926159"/>
                  <a:gd name="connsiteX547" fmla="*/ 2081561 w 3893634"/>
                  <a:gd name="connsiteY547" fmla="*/ 1626220 h 3926159"/>
                  <a:gd name="connsiteX548" fmla="*/ 2053683 w 3893634"/>
                  <a:gd name="connsiteY548" fmla="*/ 1616927 h 3926159"/>
                  <a:gd name="connsiteX549" fmla="*/ 2039744 w 3893634"/>
                  <a:gd name="connsiteY549" fmla="*/ 1612281 h 3926159"/>
                  <a:gd name="connsiteX550" fmla="*/ 2025805 w 3893634"/>
                  <a:gd name="connsiteY550" fmla="*/ 1602988 h 3926159"/>
                  <a:gd name="connsiteX551" fmla="*/ 2016513 w 3893634"/>
                  <a:gd name="connsiteY551" fmla="*/ 1589049 h 3926159"/>
                  <a:gd name="connsiteX552" fmla="*/ 1997927 w 3893634"/>
                  <a:gd name="connsiteY552" fmla="*/ 1584403 h 3926159"/>
                  <a:gd name="connsiteX553" fmla="*/ 1983988 w 3893634"/>
                  <a:gd name="connsiteY553" fmla="*/ 1556525 h 3926159"/>
                  <a:gd name="connsiteX554" fmla="*/ 2002573 w 3893634"/>
                  <a:gd name="connsiteY554" fmla="*/ 1514708 h 3926159"/>
                  <a:gd name="connsiteX555" fmla="*/ 2007220 w 3893634"/>
                  <a:gd name="connsiteY555" fmla="*/ 1500769 h 3926159"/>
                  <a:gd name="connsiteX556" fmla="*/ 2002573 w 3893634"/>
                  <a:gd name="connsiteY556" fmla="*/ 1463598 h 3926159"/>
                  <a:gd name="connsiteX557" fmla="*/ 1993281 w 3893634"/>
                  <a:gd name="connsiteY557" fmla="*/ 1449659 h 3926159"/>
                  <a:gd name="connsiteX558" fmla="*/ 1988634 w 3893634"/>
                  <a:gd name="connsiteY558" fmla="*/ 1435720 h 3926159"/>
                  <a:gd name="connsiteX559" fmla="*/ 1974695 w 3893634"/>
                  <a:gd name="connsiteY559" fmla="*/ 1421781 h 3926159"/>
                  <a:gd name="connsiteX560" fmla="*/ 1965403 w 3893634"/>
                  <a:gd name="connsiteY560" fmla="*/ 1407842 h 3926159"/>
                  <a:gd name="connsiteX561" fmla="*/ 1974695 w 3893634"/>
                  <a:gd name="connsiteY561" fmla="*/ 1393903 h 3926159"/>
                  <a:gd name="connsiteX562" fmla="*/ 1988634 w 3893634"/>
                  <a:gd name="connsiteY562" fmla="*/ 1389256 h 3926159"/>
                  <a:gd name="connsiteX563" fmla="*/ 1997927 w 3893634"/>
                  <a:gd name="connsiteY563" fmla="*/ 1361378 h 3926159"/>
                  <a:gd name="connsiteX564" fmla="*/ 1993281 w 3893634"/>
                  <a:gd name="connsiteY564" fmla="*/ 1342793 h 3926159"/>
                  <a:gd name="connsiteX565" fmla="*/ 1974695 w 3893634"/>
                  <a:gd name="connsiteY565" fmla="*/ 1314915 h 3926159"/>
                  <a:gd name="connsiteX566" fmla="*/ 1988634 w 3893634"/>
                  <a:gd name="connsiteY566" fmla="*/ 1259159 h 3926159"/>
                  <a:gd name="connsiteX567" fmla="*/ 2002573 w 3893634"/>
                  <a:gd name="connsiteY567" fmla="*/ 1254512 h 3926159"/>
                  <a:gd name="connsiteX568" fmla="*/ 2021159 w 3893634"/>
                  <a:gd name="connsiteY568" fmla="*/ 1231281 h 3926159"/>
                  <a:gd name="connsiteX569" fmla="*/ 2030452 w 3893634"/>
                  <a:gd name="connsiteY569" fmla="*/ 1217342 h 3926159"/>
                  <a:gd name="connsiteX570" fmla="*/ 2044391 w 3893634"/>
                  <a:gd name="connsiteY570" fmla="*/ 1203403 h 3926159"/>
                  <a:gd name="connsiteX571" fmla="*/ 2053683 w 3893634"/>
                  <a:gd name="connsiteY571" fmla="*/ 1189464 h 3926159"/>
                  <a:gd name="connsiteX572" fmla="*/ 2081561 w 3893634"/>
                  <a:gd name="connsiteY572" fmla="*/ 1170878 h 3926159"/>
                  <a:gd name="connsiteX573" fmla="*/ 2095500 w 3893634"/>
                  <a:gd name="connsiteY573" fmla="*/ 1156939 h 3926159"/>
                  <a:gd name="connsiteX574" fmla="*/ 2109439 w 3893634"/>
                  <a:gd name="connsiteY574" fmla="*/ 1152293 h 3926159"/>
                  <a:gd name="connsiteX575" fmla="*/ 2132671 w 3893634"/>
                  <a:gd name="connsiteY575" fmla="*/ 1133708 h 3926159"/>
                  <a:gd name="connsiteX576" fmla="*/ 2146610 w 3893634"/>
                  <a:gd name="connsiteY576" fmla="*/ 1119769 h 3926159"/>
                  <a:gd name="connsiteX577" fmla="*/ 2160549 w 3893634"/>
                  <a:gd name="connsiteY577" fmla="*/ 1110476 h 3926159"/>
                  <a:gd name="connsiteX578" fmla="*/ 2179134 w 3893634"/>
                  <a:gd name="connsiteY578" fmla="*/ 1082598 h 3926159"/>
                  <a:gd name="connsiteX579" fmla="*/ 2183781 w 3893634"/>
                  <a:gd name="connsiteY579" fmla="*/ 1068659 h 3926159"/>
                  <a:gd name="connsiteX580" fmla="*/ 2193073 w 3893634"/>
                  <a:gd name="connsiteY580" fmla="*/ 1054720 h 3926159"/>
                  <a:gd name="connsiteX581" fmla="*/ 2202366 w 3893634"/>
                  <a:gd name="connsiteY581" fmla="*/ 1026842 h 3926159"/>
                  <a:gd name="connsiteX582" fmla="*/ 2216305 w 3893634"/>
                  <a:gd name="connsiteY582" fmla="*/ 1022195 h 3926159"/>
                  <a:gd name="connsiteX583" fmla="*/ 2230244 w 3893634"/>
                  <a:gd name="connsiteY583" fmla="*/ 1012903 h 3926159"/>
                  <a:gd name="connsiteX584" fmla="*/ 2244183 w 3893634"/>
                  <a:gd name="connsiteY584" fmla="*/ 985025 h 3926159"/>
                  <a:gd name="connsiteX585" fmla="*/ 2239537 w 3893634"/>
                  <a:gd name="connsiteY585" fmla="*/ 966439 h 3926159"/>
                  <a:gd name="connsiteX586" fmla="*/ 2225598 w 3893634"/>
                  <a:gd name="connsiteY586" fmla="*/ 938561 h 3926159"/>
                  <a:gd name="connsiteX587" fmla="*/ 2216305 w 3893634"/>
                  <a:gd name="connsiteY587" fmla="*/ 910683 h 3926159"/>
                  <a:gd name="connsiteX588" fmla="*/ 2207013 w 3893634"/>
                  <a:gd name="connsiteY588" fmla="*/ 896744 h 3926159"/>
                  <a:gd name="connsiteX589" fmla="*/ 2202366 w 3893634"/>
                  <a:gd name="connsiteY589" fmla="*/ 882805 h 3926159"/>
                  <a:gd name="connsiteX590" fmla="*/ 2174488 w 3893634"/>
                  <a:gd name="connsiteY590" fmla="*/ 873512 h 3926159"/>
                  <a:gd name="connsiteX591" fmla="*/ 2053683 w 3893634"/>
                  <a:gd name="connsiteY591" fmla="*/ 878159 h 3926159"/>
                  <a:gd name="connsiteX592" fmla="*/ 2039744 w 3893634"/>
                  <a:gd name="connsiteY592" fmla="*/ 882805 h 3926159"/>
                  <a:gd name="connsiteX593" fmla="*/ 2011866 w 3893634"/>
                  <a:gd name="connsiteY593" fmla="*/ 901390 h 3926159"/>
                  <a:gd name="connsiteX594" fmla="*/ 1988634 w 3893634"/>
                  <a:gd name="connsiteY594" fmla="*/ 933915 h 3926159"/>
                  <a:gd name="connsiteX595" fmla="*/ 1983988 w 3893634"/>
                  <a:gd name="connsiteY595" fmla="*/ 947854 h 3926159"/>
                  <a:gd name="connsiteX596" fmla="*/ 1997927 w 3893634"/>
                  <a:gd name="connsiteY596" fmla="*/ 975732 h 3926159"/>
                  <a:gd name="connsiteX597" fmla="*/ 1993281 w 3893634"/>
                  <a:gd name="connsiteY597" fmla="*/ 1008256 h 3926159"/>
                  <a:gd name="connsiteX598" fmla="*/ 1988634 w 3893634"/>
                  <a:gd name="connsiteY598" fmla="*/ 1022195 h 3926159"/>
                  <a:gd name="connsiteX599" fmla="*/ 1974695 w 3893634"/>
                  <a:gd name="connsiteY599" fmla="*/ 1031488 h 3926159"/>
                  <a:gd name="connsiteX600" fmla="*/ 1979342 w 3893634"/>
                  <a:gd name="connsiteY600" fmla="*/ 1054720 h 3926159"/>
                  <a:gd name="connsiteX601" fmla="*/ 1988634 w 3893634"/>
                  <a:gd name="connsiteY601" fmla="*/ 1068659 h 3926159"/>
                  <a:gd name="connsiteX602" fmla="*/ 1983988 w 3893634"/>
                  <a:gd name="connsiteY602" fmla="*/ 1110476 h 3926159"/>
                  <a:gd name="connsiteX603" fmla="*/ 1979342 w 3893634"/>
                  <a:gd name="connsiteY603" fmla="*/ 1124415 h 3926159"/>
                  <a:gd name="connsiteX604" fmla="*/ 1965403 w 3893634"/>
                  <a:gd name="connsiteY604" fmla="*/ 1133708 h 3926159"/>
                  <a:gd name="connsiteX605" fmla="*/ 1932878 w 3893634"/>
                  <a:gd name="connsiteY605" fmla="*/ 1170878 h 3926159"/>
                  <a:gd name="connsiteX606" fmla="*/ 1914293 w 3893634"/>
                  <a:gd name="connsiteY606" fmla="*/ 1189464 h 3926159"/>
                  <a:gd name="connsiteX607" fmla="*/ 1905000 w 3893634"/>
                  <a:gd name="connsiteY607" fmla="*/ 1203403 h 3926159"/>
                  <a:gd name="connsiteX608" fmla="*/ 1872476 w 3893634"/>
                  <a:gd name="connsiteY608" fmla="*/ 1212695 h 3926159"/>
                  <a:gd name="connsiteX609" fmla="*/ 1853891 w 3893634"/>
                  <a:gd name="connsiteY609" fmla="*/ 1221988 h 3926159"/>
                  <a:gd name="connsiteX610" fmla="*/ 1835305 w 3893634"/>
                  <a:gd name="connsiteY610" fmla="*/ 1226634 h 3926159"/>
                  <a:gd name="connsiteX611" fmla="*/ 1821366 w 3893634"/>
                  <a:gd name="connsiteY611" fmla="*/ 1231281 h 3926159"/>
                  <a:gd name="connsiteX612" fmla="*/ 1788842 w 3893634"/>
                  <a:gd name="connsiteY612" fmla="*/ 1268451 h 3926159"/>
                  <a:gd name="connsiteX613" fmla="*/ 1784195 w 3893634"/>
                  <a:gd name="connsiteY613" fmla="*/ 1282390 h 3926159"/>
                  <a:gd name="connsiteX614" fmla="*/ 1756317 w 3893634"/>
                  <a:gd name="connsiteY614" fmla="*/ 1300976 h 3926159"/>
                  <a:gd name="connsiteX615" fmla="*/ 1747025 w 3893634"/>
                  <a:gd name="connsiteY615" fmla="*/ 1314915 h 3926159"/>
                  <a:gd name="connsiteX616" fmla="*/ 1742378 w 3893634"/>
                  <a:gd name="connsiteY616" fmla="*/ 1342793 h 3926159"/>
                  <a:gd name="connsiteX617" fmla="*/ 1728439 w 3893634"/>
                  <a:gd name="connsiteY617" fmla="*/ 1347439 h 3926159"/>
                  <a:gd name="connsiteX618" fmla="*/ 1719147 w 3893634"/>
                  <a:gd name="connsiteY618" fmla="*/ 1361378 h 3926159"/>
                  <a:gd name="connsiteX619" fmla="*/ 1714500 w 3893634"/>
                  <a:gd name="connsiteY619" fmla="*/ 1375317 h 3926159"/>
                  <a:gd name="connsiteX620" fmla="*/ 1709854 w 3893634"/>
                  <a:gd name="connsiteY620" fmla="*/ 1477537 h 3926159"/>
                  <a:gd name="connsiteX621" fmla="*/ 1700561 w 3893634"/>
                  <a:gd name="connsiteY621" fmla="*/ 1505415 h 3926159"/>
                  <a:gd name="connsiteX622" fmla="*/ 1705208 w 3893634"/>
                  <a:gd name="connsiteY622" fmla="*/ 1519354 h 3926159"/>
                  <a:gd name="connsiteX623" fmla="*/ 1709854 w 3893634"/>
                  <a:gd name="connsiteY623" fmla="*/ 1537939 h 3926159"/>
                  <a:gd name="connsiteX624" fmla="*/ 1719147 w 3893634"/>
                  <a:gd name="connsiteY624" fmla="*/ 1565817 h 3926159"/>
                  <a:gd name="connsiteX625" fmla="*/ 1714500 w 3893634"/>
                  <a:gd name="connsiteY625" fmla="*/ 1598342 h 3926159"/>
                  <a:gd name="connsiteX626" fmla="*/ 1709854 w 3893634"/>
                  <a:gd name="connsiteY626" fmla="*/ 1612281 h 3926159"/>
                  <a:gd name="connsiteX627" fmla="*/ 1737732 w 3893634"/>
                  <a:gd name="connsiteY627" fmla="*/ 1602988 h 3926159"/>
                  <a:gd name="connsiteX628" fmla="*/ 1756317 w 3893634"/>
                  <a:gd name="connsiteY628" fmla="*/ 1607634 h 3926159"/>
                  <a:gd name="connsiteX629" fmla="*/ 1770256 w 3893634"/>
                  <a:gd name="connsiteY629" fmla="*/ 1635512 h 3926159"/>
                  <a:gd name="connsiteX630" fmla="*/ 1779549 w 3893634"/>
                  <a:gd name="connsiteY630" fmla="*/ 1649451 h 3926159"/>
                  <a:gd name="connsiteX631" fmla="*/ 1798134 w 3893634"/>
                  <a:gd name="connsiteY631" fmla="*/ 1668037 h 3926159"/>
                  <a:gd name="connsiteX632" fmla="*/ 1807427 w 3893634"/>
                  <a:gd name="connsiteY632" fmla="*/ 1681976 h 3926159"/>
                  <a:gd name="connsiteX633" fmla="*/ 1807427 w 3893634"/>
                  <a:gd name="connsiteY633" fmla="*/ 1723793 h 3926159"/>
                  <a:gd name="connsiteX634" fmla="*/ 1779549 w 3893634"/>
                  <a:gd name="connsiteY634" fmla="*/ 1733086 h 3926159"/>
                  <a:gd name="connsiteX635" fmla="*/ 1765610 w 3893634"/>
                  <a:gd name="connsiteY635" fmla="*/ 1737732 h 3926159"/>
                  <a:gd name="connsiteX636" fmla="*/ 1760964 w 3893634"/>
                  <a:gd name="connsiteY636" fmla="*/ 1751671 h 3926159"/>
                  <a:gd name="connsiteX637" fmla="*/ 1779549 w 3893634"/>
                  <a:gd name="connsiteY637" fmla="*/ 1779549 h 3926159"/>
                  <a:gd name="connsiteX638" fmla="*/ 1774903 w 3893634"/>
                  <a:gd name="connsiteY638" fmla="*/ 1793488 h 3926159"/>
                  <a:gd name="connsiteX639" fmla="*/ 1719147 w 3893634"/>
                  <a:gd name="connsiteY639" fmla="*/ 1821366 h 3926159"/>
                  <a:gd name="connsiteX640" fmla="*/ 1705208 w 3893634"/>
                  <a:gd name="connsiteY640" fmla="*/ 1826012 h 3926159"/>
                  <a:gd name="connsiteX641" fmla="*/ 1691269 w 3893634"/>
                  <a:gd name="connsiteY641" fmla="*/ 1830659 h 3926159"/>
                  <a:gd name="connsiteX642" fmla="*/ 1677330 w 3893634"/>
                  <a:gd name="connsiteY642" fmla="*/ 1844598 h 3926159"/>
                  <a:gd name="connsiteX643" fmla="*/ 1663391 w 3893634"/>
                  <a:gd name="connsiteY643" fmla="*/ 1849244 h 3926159"/>
                  <a:gd name="connsiteX644" fmla="*/ 1658744 w 3893634"/>
                  <a:gd name="connsiteY644" fmla="*/ 1863183 h 3926159"/>
                  <a:gd name="connsiteX645" fmla="*/ 1663391 w 3893634"/>
                  <a:gd name="connsiteY645" fmla="*/ 1928232 h 3926159"/>
                  <a:gd name="connsiteX646" fmla="*/ 1668037 w 3893634"/>
                  <a:gd name="connsiteY646" fmla="*/ 1951464 h 3926159"/>
                  <a:gd name="connsiteX647" fmla="*/ 1663391 w 3893634"/>
                  <a:gd name="connsiteY647" fmla="*/ 2053683 h 3926159"/>
                  <a:gd name="connsiteX648" fmla="*/ 1649452 w 3893634"/>
                  <a:gd name="connsiteY648" fmla="*/ 2086208 h 3926159"/>
                  <a:gd name="connsiteX649" fmla="*/ 1635513 w 3893634"/>
                  <a:gd name="connsiteY649" fmla="*/ 2090854 h 3926159"/>
                  <a:gd name="connsiteX650" fmla="*/ 1626220 w 3893634"/>
                  <a:gd name="connsiteY650" fmla="*/ 2104793 h 3926159"/>
                  <a:gd name="connsiteX651" fmla="*/ 1570464 w 3893634"/>
                  <a:gd name="connsiteY651" fmla="*/ 2123378 h 3926159"/>
                  <a:gd name="connsiteX652" fmla="*/ 1556525 w 3893634"/>
                  <a:gd name="connsiteY652" fmla="*/ 2132671 h 3926159"/>
                  <a:gd name="connsiteX653" fmla="*/ 1537939 w 3893634"/>
                  <a:gd name="connsiteY653" fmla="*/ 2160549 h 3926159"/>
                  <a:gd name="connsiteX654" fmla="*/ 1524000 w 3893634"/>
                  <a:gd name="connsiteY654" fmla="*/ 2193073 h 3926159"/>
                  <a:gd name="connsiteX655" fmla="*/ 1510061 w 3893634"/>
                  <a:gd name="connsiteY655" fmla="*/ 2197720 h 3926159"/>
                  <a:gd name="connsiteX656" fmla="*/ 1440366 w 3893634"/>
                  <a:gd name="connsiteY656" fmla="*/ 2193073 h 3926159"/>
                  <a:gd name="connsiteX657" fmla="*/ 1426427 w 3893634"/>
                  <a:gd name="connsiteY657" fmla="*/ 2188427 h 3926159"/>
                  <a:gd name="connsiteX658" fmla="*/ 1412488 w 3893634"/>
                  <a:gd name="connsiteY658" fmla="*/ 2197720 h 3926159"/>
                  <a:gd name="connsiteX659" fmla="*/ 1398549 w 3893634"/>
                  <a:gd name="connsiteY659" fmla="*/ 2225598 h 3926159"/>
                  <a:gd name="connsiteX660" fmla="*/ 1384610 w 3893634"/>
                  <a:gd name="connsiteY660" fmla="*/ 2253476 h 3926159"/>
                  <a:gd name="connsiteX661" fmla="*/ 1379964 w 3893634"/>
                  <a:gd name="connsiteY661" fmla="*/ 2267415 h 3926159"/>
                  <a:gd name="connsiteX662" fmla="*/ 1324208 w 3893634"/>
                  <a:gd name="connsiteY662" fmla="*/ 2267415 h 3926159"/>
                  <a:gd name="connsiteX663" fmla="*/ 1328854 w 3893634"/>
                  <a:gd name="connsiteY663" fmla="*/ 2253476 h 3926159"/>
                  <a:gd name="connsiteX664" fmla="*/ 1356732 w 3893634"/>
                  <a:gd name="connsiteY664" fmla="*/ 2239537 h 3926159"/>
                  <a:gd name="connsiteX665" fmla="*/ 1352086 w 3893634"/>
                  <a:gd name="connsiteY665" fmla="*/ 2193073 h 3926159"/>
                  <a:gd name="connsiteX666" fmla="*/ 1338147 w 3893634"/>
                  <a:gd name="connsiteY666" fmla="*/ 2197720 h 3926159"/>
                  <a:gd name="connsiteX667" fmla="*/ 1333500 w 3893634"/>
                  <a:gd name="connsiteY667" fmla="*/ 2216305 h 3926159"/>
                  <a:gd name="connsiteX668" fmla="*/ 1328854 w 3893634"/>
                  <a:gd name="connsiteY668" fmla="*/ 2230244 h 3926159"/>
                  <a:gd name="connsiteX669" fmla="*/ 1300976 w 3893634"/>
                  <a:gd name="connsiteY669" fmla="*/ 2239537 h 3926159"/>
                  <a:gd name="connsiteX670" fmla="*/ 1287037 w 3893634"/>
                  <a:gd name="connsiteY670" fmla="*/ 2188427 h 3926159"/>
                  <a:gd name="connsiteX671" fmla="*/ 1291683 w 3893634"/>
                  <a:gd name="connsiteY671" fmla="*/ 2174488 h 3926159"/>
                  <a:gd name="connsiteX672" fmla="*/ 1333500 w 3893634"/>
                  <a:gd name="connsiteY672" fmla="*/ 2169842 h 3926159"/>
                  <a:gd name="connsiteX673" fmla="*/ 1338147 w 3893634"/>
                  <a:gd name="connsiteY673" fmla="*/ 2123378 h 3926159"/>
                  <a:gd name="connsiteX674" fmla="*/ 1352086 w 3893634"/>
                  <a:gd name="connsiteY674" fmla="*/ 2118732 h 3926159"/>
                  <a:gd name="connsiteX675" fmla="*/ 1393903 w 3893634"/>
                  <a:gd name="connsiteY675" fmla="*/ 2114086 h 3926159"/>
                  <a:gd name="connsiteX676" fmla="*/ 1417134 w 3893634"/>
                  <a:gd name="connsiteY676" fmla="*/ 2095500 h 3926159"/>
                  <a:gd name="connsiteX677" fmla="*/ 1426427 w 3893634"/>
                  <a:gd name="connsiteY677" fmla="*/ 2067622 h 3926159"/>
                  <a:gd name="connsiteX678" fmla="*/ 1421781 w 3893634"/>
                  <a:gd name="connsiteY678" fmla="*/ 2039744 h 3926159"/>
                  <a:gd name="connsiteX679" fmla="*/ 1398549 w 3893634"/>
                  <a:gd name="connsiteY679" fmla="*/ 2011866 h 3926159"/>
                  <a:gd name="connsiteX680" fmla="*/ 1389256 w 3893634"/>
                  <a:gd name="connsiteY680" fmla="*/ 1997927 h 3926159"/>
                  <a:gd name="connsiteX681" fmla="*/ 1379964 w 3893634"/>
                  <a:gd name="connsiteY681" fmla="*/ 1970049 h 3926159"/>
                  <a:gd name="connsiteX682" fmla="*/ 1375317 w 3893634"/>
                  <a:gd name="connsiteY682" fmla="*/ 1946817 h 3926159"/>
                  <a:gd name="connsiteX683" fmla="*/ 1366025 w 3893634"/>
                  <a:gd name="connsiteY683" fmla="*/ 1932878 h 3926159"/>
                  <a:gd name="connsiteX684" fmla="*/ 1356732 w 3893634"/>
                  <a:gd name="connsiteY684" fmla="*/ 1914293 h 3926159"/>
                  <a:gd name="connsiteX685" fmla="*/ 1352086 w 3893634"/>
                  <a:gd name="connsiteY685" fmla="*/ 1895708 h 3926159"/>
                  <a:gd name="connsiteX686" fmla="*/ 1342793 w 3893634"/>
                  <a:gd name="connsiteY686" fmla="*/ 1881769 h 3926159"/>
                  <a:gd name="connsiteX687" fmla="*/ 1338147 w 3893634"/>
                  <a:gd name="connsiteY687" fmla="*/ 1867829 h 3926159"/>
                  <a:gd name="connsiteX688" fmla="*/ 1342793 w 3893634"/>
                  <a:gd name="connsiteY688" fmla="*/ 1807427 h 3926159"/>
                  <a:gd name="connsiteX689" fmla="*/ 1347439 w 3893634"/>
                  <a:gd name="connsiteY689" fmla="*/ 1793488 h 3926159"/>
                  <a:gd name="connsiteX690" fmla="*/ 1338147 w 3893634"/>
                  <a:gd name="connsiteY690" fmla="*/ 1774903 h 3926159"/>
                  <a:gd name="connsiteX691" fmla="*/ 1319561 w 3893634"/>
                  <a:gd name="connsiteY691" fmla="*/ 1747025 h 3926159"/>
                  <a:gd name="connsiteX692" fmla="*/ 1300976 w 3893634"/>
                  <a:gd name="connsiteY692" fmla="*/ 1705208 h 3926159"/>
                  <a:gd name="connsiteX693" fmla="*/ 1287037 w 3893634"/>
                  <a:gd name="connsiteY693" fmla="*/ 1714500 h 3926159"/>
                  <a:gd name="connsiteX694" fmla="*/ 1282391 w 3893634"/>
                  <a:gd name="connsiteY694" fmla="*/ 1733086 h 3926159"/>
                  <a:gd name="connsiteX695" fmla="*/ 1273098 w 3893634"/>
                  <a:gd name="connsiteY695" fmla="*/ 1760964 h 3926159"/>
                  <a:gd name="connsiteX696" fmla="*/ 1263805 w 3893634"/>
                  <a:gd name="connsiteY696" fmla="*/ 1774903 h 3926159"/>
                  <a:gd name="connsiteX697" fmla="*/ 1235927 w 3893634"/>
                  <a:gd name="connsiteY697" fmla="*/ 1784195 h 3926159"/>
                  <a:gd name="connsiteX698" fmla="*/ 1231281 w 3893634"/>
                  <a:gd name="connsiteY698" fmla="*/ 1798134 h 3926159"/>
                  <a:gd name="connsiteX699" fmla="*/ 1203403 w 3893634"/>
                  <a:gd name="connsiteY699" fmla="*/ 1816720 h 3926159"/>
                  <a:gd name="connsiteX700" fmla="*/ 1180171 w 3893634"/>
                  <a:gd name="connsiteY700" fmla="*/ 1839951 h 3926159"/>
                  <a:gd name="connsiteX701" fmla="*/ 1152293 w 3893634"/>
                  <a:gd name="connsiteY701" fmla="*/ 1858537 h 3926159"/>
                  <a:gd name="connsiteX702" fmla="*/ 1147647 w 3893634"/>
                  <a:gd name="connsiteY702" fmla="*/ 1872476 h 3926159"/>
                  <a:gd name="connsiteX703" fmla="*/ 1119769 w 3893634"/>
                  <a:gd name="connsiteY703" fmla="*/ 1881769 h 3926159"/>
                  <a:gd name="connsiteX704" fmla="*/ 1036134 w 3893634"/>
                  <a:gd name="connsiteY704" fmla="*/ 1867829 h 3926159"/>
                  <a:gd name="connsiteX705" fmla="*/ 1022195 w 3893634"/>
                  <a:gd name="connsiteY705" fmla="*/ 1853890 h 3926159"/>
                  <a:gd name="connsiteX706" fmla="*/ 994317 w 3893634"/>
                  <a:gd name="connsiteY706" fmla="*/ 1844598 h 3926159"/>
                  <a:gd name="connsiteX707" fmla="*/ 980378 w 3893634"/>
                  <a:gd name="connsiteY707" fmla="*/ 1835305 h 3926159"/>
                  <a:gd name="connsiteX708" fmla="*/ 966439 w 3893634"/>
                  <a:gd name="connsiteY708" fmla="*/ 1830659 h 3926159"/>
                  <a:gd name="connsiteX709" fmla="*/ 994317 w 3893634"/>
                  <a:gd name="connsiteY709" fmla="*/ 1788842 h 3926159"/>
                  <a:gd name="connsiteX710" fmla="*/ 1008256 w 3893634"/>
                  <a:gd name="connsiteY710" fmla="*/ 1784195 h 3926159"/>
                  <a:gd name="connsiteX711" fmla="*/ 1022195 w 3893634"/>
                  <a:gd name="connsiteY711" fmla="*/ 1756317 h 3926159"/>
                  <a:gd name="connsiteX712" fmla="*/ 1017549 w 3893634"/>
                  <a:gd name="connsiteY712" fmla="*/ 1742378 h 3926159"/>
                  <a:gd name="connsiteX713" fmla="*/ 980378 w 3893634"/>
                  <a:gd name="connsiteY713" fmla="*/ 1737732 h 3926159"/>
                  <a:gd name="connsiteX714" fmla="*/ 966439 w 3893634"/>
                  <a:gd name="connsiteY714" fmla="*/ 1733086 h 3926159"/>
                  <a:gd name="connsiteX715" fmla="*/ 947854 w 3893634"/>
                  <a:gd name="connsiteY715" fmla="*/ 1728439 h 3926159"/>
                  <a:gd name="connsiteX716" fmla="*/ 943208 w 3893634"/>
                  <a:gd name="connsiteY716" fmla="*/ 1714500 h 3926159"/>
                  <a:gd name="connsiteX717" fmla="*/ 957147 w 3893634"/>
                  <a:gd name="connsiteY717" fmla="*/ 1695915 h 3926159"/>
                  <a:gd name="connsiteX718" fmla="*/ 985025 w 3893634"/>
                  <a:gd name="connsiteY718" fmla="*/ 1677329 h 3926159"/>
                  <a:gd name="connsiteX719" fmla="*/ 1003610 w 3893634"/>
                  <a:gd name="connsiteY719" fmla="*/ 1658744 h 3926159"/>
                  <a:gd name="connsiteX720" fmla="*/ 1012903 w 3893634"/>
                  <a:gd name="connsiteY720" fmla="*/ 1644805 h 3926159"/>
                  <a:gd name="connsiteX721" fmla="*/ 998964 w 3893634"/>
                  <a:gd name="connsiteY721" fmla="*/ 1640159 h 3926159"/>
                  <a:gd name="connsiteX722" fmla="*/ 985025 w 3893634"/>
                  <a:gd name="connsiteY722" fmla="*/ 1630866 h 3926159"/>
                  <a:gd name="connsiteX723" fmla="*/ 952500 w 3893634"/>
                  <a:gd name="connsiteY723" fmla="*/ 1626220 h 3926159"/>
                  <a:gd name="connsiteX724" fmla="*/ 938561 w 3893634"/>
                  <a:gd name="connsiteY724" fmla="*/ 1621573 h 3926159"/>
                  <a:gd name="connsiteX725" fmla="*/ 943208 w 3893634"/>
                  <a:gd name="connsiteY725" fmla="*/ 1593695 h 3926159"/>
                  <a:gd name="connsiteX726" fmla="*/ 947854 w 3893634"/>
                  <a:gd name="connsiteY726" fmla="*/ 1579756 h 3926159"/>
                  <a:gd name="connsiteX727" fmla="*/ 952500 w 3893634"/>
                  <a:gd name="connsiteY727" fmla="*/ 1528647 h 3926159"/>
                  <a:gd name="connsiteX728" fmla="*/ 966439 w 3893634"/>
                  <a:gd name="connsiteY728" fmla="*/ 1514708 h 3926159"/>
                  <a:gd name="connsiteX729" fmla="*/ 971086 w 3893634"/>
                  <a:gd name="connsiteY729" fmla="*/ 1500769 h 3926159"/>
                  <a:gd name="connsiteX730" fmla="*/ 961793 w 3893634"/>
                  <a:gd name="connsiteY730" fmla="*/ 1486829 h 3926159"/>
                  <a:gd name="connsiteX731" fmla="*/ 952500 w 3893634"/>
                  <a:gd name="connsiteY731" fmla="*/ 1458951 h 3926159"/>
                  <a:gd name="connsiteX732" fmla="*/ 947854 w 3893634"/>
                  <a:gd name="connsiteY732" fmla="*/ 1445012 h 3926159"/>
                  <a:gd name="connsiteX733" fmla="*/ 952500 w 3893634"/>
                  <a:gd name="connsiteY733" fmla="*/ 1417134 h 3926159"/>
                  <a:gd name="connsiteX734" fmla="*/ 966439 w 3893634"/>
                  <a:gd name="connsiteY734" fmla="*/ 1403195 h 3926159"/>
                  <a:gd name="connsiteX735" fmla="*/ 989671 w 3893634"/>
                  <a:gd name="connsiteY735" fmla="*/ 1379964 h 3926159"/>
                  <a:gd name="connsiteX736" fmla="*/ 1026842 w 3893634"/>
                  <a:gd name="connsiteY736" fmla="*/ 1370671 h 3926159"/>
                  <a:gd name="connsiteX737" fmla="*/ 1064013 w 3893634"/>
                  <a:gd name="connsiteY737" fmla="*/ 1361378 h 3926159"/>
                  <a:gd name="connsiteX738" fmla="*/ 1082598 w 3893634"/>
                  <a:gd name="connsiteY738" fmla="*/ 1352086 h 3926159"/>
                  <a:gd name="connsiteX739" fmla="*/ 1082598 w 3893634"/>
                  <a:gd name="connsiteY739" fmla="*/ 1310269 h 3926159"/>
                  <a:gd name="connsiteX740" fmla="*/ 1101183 w 3893634"/>
                  <a:gd name="connsiteY740" fmla="*/ 1282390 h 3926159"/>
                  <a:gd name="connsiteX741" fmla="*/ 1129061 w 3893634"/>
                  <a:gd name="connsiteY741" fmla="*/ 1259159 h 3926159"/>
                  <a:gd name="connsiteX742" fmla="*/ 1138354 w 3893634"/>
                  <a:gd name="connsiteY742" fmla="*/ 1245220 h 3926159"/>
                  <a:gd name="connsiteX743" fmla="*/ 1152293 w 3893634"/>
                  <a:gd name="connsiteY743" fmla="*/ 1240573 h 3926159"/>
                  <a:gd name="connsiteX744" fmla="*/ 1170878 w 3893634"/>
                  <a:gd name="connsiteY744" fmla="*/ 1231281 h 3926159"/>
                  <a:gd name="connsiteX745" fmla="*/ 1198756 w 3893634"/>
                  <a:gd name="connsiteY745" fmla="*/ 1221988 h 3926159"/>
                  <a:gd name="connsiteX746" fmla="*/ 1212695 w 3893634"/>
                  <a:gd name="connsiteY746" fmla="*/ 1212695 h 3926159"/>
                  <a:gd name="connsiteX747" fmla="*/ 1282391 w 3893634"/>
                  <a:gd name="connsiteY747" fmla="*/ 1198756 h 3926159"/>
                  <a:gd name="connsiteX748" fmla="*/ 1263805 w 3893634"/>
                  <a:gd name="connsiteY748" fmla="*/ 1194110 h 3926159"/>
                  <a:gd name="connsiteX749" fmla="*/ 1249866 w 3893634"/>
                  <a:gd name="connsiteY749" fmla="*/ 1184817 h 3926159"/>
                  <a:gd name="connsiteX750" fmla="*/ 1235927 w 3893634"/>
                  <a:gd name="connsiteY750" fmla="*/ 1180171 h 3926159"/>
                  <a:gd name="connsiteX751" fmla="*/ 1231281 w 3893634"/>
                  <a:gd name="connsiteY751" fmla="*/ 1166232 h 3926159"/>
                  <a:gd name="connsiteX752" fmla="*/ 1263805 w 3893634"/>
                  <a:gd name="connsiteY752" fmla="*/ 1129061 h 3926159"/>
                  <a:gd name="connsiteX753" fmla="*/ 1277744 w 3893634"/>
                  <a:gd name="connsiteY753" fmla="*/ 1119769 h 3926159"/>
                  <a:gd name="connsiteX754" fmla="*/ 1305622 w 3893634"/>
                  <a:gd name="connsiteY754" fmla="*/ 1077951 h 3926159"/>
                  <a:gd name="connsiteX755" fmla="*/ 1333500 w 3893634"/>
                  <a:gd name="connsiteY755" fmla="*/ 1064012 h 3926159"/>
                  <a:gd name="connsiteX756" fmla="*/ 1347439 w 3893634"/>
                  <a:gd name="connsiteY756" fmla="*/ 1054720 h 3926159"/>
                  <a:gd name="connsiteX757" fmla="*/ 1352086 w 3893634"/>
                  <a:gd name="connsiteY757" fmla="*/ 1040781 h 3926159"/>
                  <a:gd name="connsiteX758" fmla="*/ 1356732 w 3893634"/>
                  <a:gd name="connsiteY758" fmla="*/ 1003610 h 3926159"/>
                  <a:gd name="connsiteX759" fmla="*/ 1384610 w 3893634"/>
                  <a:gd name="connsiteY759" fmla="*/ 989671 h 3926159"/>
                  <a:gd name="connsiteX760" fmla="*/ 1393903 w 3893634"/>
                  <a:gd name="connsiteY760" fmla="*/ 975732 h 3926159"/>
                  <a:gd name="connsiteX761" fmla="*/ 1403195 w 3893634"/>
                  <a:gd name="connsiteY761" fmla="*/ 947854 h 3926159"/>
                  <a:gd name="connsiteX762" fmla="*/ 1407842 w 3893634"/>
                  <a:gd name="connsiteY762" fmla="*/ 910683 h 3926159"/>
                  <a:gd name="connsiteX763" fmla="*/ 1421781 w 3893634"/>
                  <a:gd name="connsiteY763" fmla="*/ 864220 h 3926159"/>
                  <a:gd name="connsiteX764" fmla="*/ 1426427 w 3893634"/>
                  <a:gd name="connsiteY764" fmla="*/ 850281 h 3926159"/>
                  <a:gd name="connsiteX765" fmla="*/ 1440366 w 3893634"/>
                  <a:gd name="connsiteY765" fmla="*/ 845634 h 3926159"/>
                  <a:gd name="connsiteX766" fmla="*/ 1445013 w 3893634"/>
                  <a:gd name="connsiteY766" fmla="*/ 813110 h 3926159"/>
                  <a:gd name="connsiteX767" fmla="*/ 1458952 w 3893634"/>
                  <a:gd name="connsiteY767" fmla="*/ 808464 h 3926159"/>
                  <a:gd name="connsiteX768" fmla="*/ 1463598 w 3893634"/>
                  <a:gd name="connsiteY768" fmla="*/ 775939 h 3926159"/>
                  <a:gd name="connsiteX769" fmla="*/ 1477537 w 3893634"/>
                  <a:gd name="connsiteY769" fmla="*/ 729476 h 3926159"/>
                  <a:gd name="connsiteX770" fmla="*/ 1482183 w 3893634"/>
                  <a:gd name="connsiteY770" fmla="*/ 715537 h 3926159"/>
                  <a:gd name="connsiteX771" fmla="*/ 1496122 w 3893634"/>
                  <a:gd name="connsiteY771" fmla="*/ 701598 h 3926159"/>
                  <a:gd name="connsiteX772" fmla="*/ 1519354 w 3893634"/>
                  <a:gd name="connsiteY772" fmla="*/ 683012 h 3926159"/>
                  <a:gd name="connsiteX773" fmla="*/ 1528647 w 3893634"/>
                  <a:gd name="connsiteY773" fmla="*/ 669073 h 3926159"/>
                  <a:gd name="connsiteX774" fmla="*/ 1542586 w 3893634"/>
                  <a:gd name="connsiteY774" fmla="*/ 659781 h 3926159"/>
                  <a:gd name="connsiteX775" fmla="*/ 1561171 w 3893634"/>
                  <a:gd name="connsiteY775" fmla="*/ 636549 h 3926159"/>
                  <a:gd name="connsiteX776" fmla="*/ 1565817 w 3893634"/>
                  <a:gd name="connsiteY776" fmla="*/ 594732 h 3926159"/>
                  <a:gd name="connsiteX777" fmla="*/ 1598342 w 3893634"/>
                  <a:gd name="connsiteY777" fmla="*/ 566854 h 3926159"/>
                  <a:gd name="connsiteX778" fmla="*/ 1630866 w 3893634"/>
                  <a:gd name="connsiteY778" fmla="*/ 529683 h 3926159"/>
                  <a:gd name="connsiteX779" fmla="*/ 1649452 w 3893634"/>
                  <a:gd name="connsiteY779" fmla="*/ 520390 h 3926159"/>
                  <a:gd name="connsiteX780" fmla="*/ 1654098 w 3893634"/>
                  <a:gd name="connsiteY780" fmla="*/ 506451 h 3926159"/>
                  <a:gd name="connsiteX781" fmla="*/ 1686622 w 3893634"/>
                  <a:gd name="connsiteY781" fmla="*/ 492512 h 3926159"/>
                  <a:gd name="connsiteX782" fmla="*/ 1709854 w 3893634"/>
                  <a:gd name="connsiteY782" fmla="*/ 487866 h 3926159"/>
                  <a:gd name="connsiteX783" fmla="*/ 1705208 w 3893634"/>
                  <a:gd name="connsiteY783" fmla="*/ 464634 h 3926159"/>
                  <a:gd name="connsiteX784" fmla="*/ 1635513 w 3893634"/>
                  <a:gd name="connsiteY784" fmla="*/ 473927 h 3926159"/>
                  <a:gd name="connsiteX785" fmla="*/ 1616927 w 3893634"/>
                  <a:gd name="connsiteY785" fmla="*/ 483220 h 3926159"/>
                  <a:gd name="connsiteX786" fmla="*/ 1570464 w 3893634"/>
                  <a:gd name="connsiteY786" fmla="*/ 497159 h 3926159"/>
                  <a:gd name="connsiteX787" fmla="*/ 1556525 w 3893634"/>
                  <a:gd name="connsiteY787" fmla="*/ 506451 h 3926159"/>
                  <a:gd name="connsiteX788" fmla="*/ 1528647 w 3893634"/>
                  <a:gd name="connsiteY788" fmla="*/ 515744 h 3926159"/>
                  <a:gd name="connsiteX789" fmla="*/ 1491476 w 3893634"/>
                  <a:gd name="connsiteY789" fmla="*/ 511098 h 3926159"/>
                  <a:gd name="connsiteX790" fmla="*/ 1496122 w 3893634"/>
                  <a:gd name="connsiteY790" fmla="*/ 497159 h 3926159"/>
                  <a:gd name="connsiteX791" fmla="*/ 1510061 w 3893634"/>
                  <a:gd name="connsiteY791" fmla="*/ 483220 h 3926159"/>
                  <a:gd name="connsiteX792" fmla="*/ 1519354 w 3893634"/>
                  <a:gd name="connsiteY792" fmla="*/ 469281 h 3926159"/>
                  <a:gd name="connsiteX793" fmla="*/ 1533293 w 3893634"/>
                  <a:gd name="connsiteY793" fmla="*/ 464634 h 3926159"/>
                  <a:gd name="connsiteX794" fmla="*/ 1575110 w 3893634"/>
                  <a:gd name="connsiteY794" fmla="*/ 450695 h 3926159"/>
                  <a:gd name="connsiteX795" fmla="*/ 1589049 w 3893634"/>
                  <a:gd name="connsiteY795" fmla="*/ 441403 h 3926159"/>
                  <a:gd name="connsiteX796" fmla="*/ 1584403 w 3893634"/>
                  <a:gd name="connsiteY796" fmla="*/ 427464 h 3926159"/>
                  <a:gd name="connsiteX797" fmla="*/ 1579756 w 3893634"/>
                  <a:gd name="connsiteY797" fmla="*/ 404232 h 3926159"/>
                  <a:gd name="connsiteX798" fmla="*/ 1584403 w 3893634"/>
                  <a:gd name="connsiteY798" fmla="*/ 343829 h 3926159"/>
                  <a:gd name="connsiteX799" fmla="*/ 1589049 w 3893634"/>
                  <a:gd name="connsiteY799" fmla="*/ 329890 h 3926159"/>
                  <a:gd name="connsiteX800" fmla="*/ 1602988 w 3893634"/>
                  <a:gd name="connsiteY800" fmla="*/ 315951 h 3926159"/>
                  <a:gd name="connsiteX801" fmla="*/ 1616927 w 3893634"/>
                  <a:gd name="connsiteY801" fmla="*/ 311305 h 3926159"/>
                  <a:gd name="connsiteX802" fmla="*/ 1640159 w 3893634"/>
                  <a:gd name="connsiteY802" fmla="*/ 315951 h 3926159"/>
                  <a:gd name="connsiteX803" fmla="*/ 1654098 w 3893634"/>
                  <a:gd name="connsiteY803" fmla="*/ 348476 h 3926159"/>
                  <a:gd name="connsiteX804" fmla="*/ 1677330 w 3893634"/>
                  <a:gd name="connsiteY804" fmla="*/ 376354 h 3926159"/>
                  <a:gd name="connsiteX805" fmla="*/ 1681976 w 3893634"/>
                  <a:gd name="connsiteY805" fmla="*/ 390293 h 3926159"/>
                  <a:gd name="connsiteX806" fmla="*/ 1737732 w 3893634"/>
                  <a:gd name="connsiteY806" fmla="*/ 394939 h 3926159"/>
                  <a:gd name="connsiteX807" fmla="*/ 1733086 w 3893634"/>
                  <a:gd name="connsiteY807" fmla="*/ 334537 h 3926159"/>
                  <a:gd name="connsiteX808" fmla="*/ 1742378 w 3893634"/>
                  <a:gd name="connsiteY808" fmla="*/ 320598 h 3926159"/>
                  <a:gd name="connsiteX809" fmla="*/ 1756317 w 3893634"/>
                  <a:gd name="connsiteY809" fmla="*/ 311305 h 3926159"/>
                  <a:gd name="connsiteX810" fmla="*/ 1765610 w 3893634"/>
                  <a:gd name="connsiteY810" fmla="*/ 297366 h 3926159"/>
                  <a:gd name="connsiteX811" fmla="*/ 1779549 w 3893634"/>
                  <a:gd name="connsiteY811" fmla="*/ 292720 h 3926159"/>
                  <a:gd name="connsiteX812" fmla="*/ 1863183 w 3893634"/>
                  <a:gd name="connsiteY812" fmla="*/ 302012 h 3926159"/>
                  <a:gd name="connsiteX813" fmla="*/ 1867830 w 3893634"/>
                  <a:gd name="connsiteY813" fmla="*/ 288073 h 3926159"/>
                  <a:gd name="connsiteX814" fmla="*/ 1858537 w 3893634"/>
                  <a:gd name="connsiteY814" fmla="*/ 260195 h 3926159"/>
                  <a:gd name="connsiteX815" fmla="*/ 1872476 w 3893634"/>
                  <a:gd name="connsiteY815" fmla="*/ 250903 h 3926159"/>
                  <a:gd name="connsiteX816" fmla="*/ 1905000 w 3893634"/>
                  <a:gd name="connsiteY816" fmla="*/ 209086 h 3926159"/>
                  <a:gd name="connsiteX817" fmla="*/ 1918939 w 3893634"/>
                  <a:gd name="connsiteY817" fmla="*/ 204439 h 3926159"/>
                  <a:gd name="connsiteX818" fmla="*/ 1942171 w 3893634"/>
                  <a:gd name="connsiteY818" fmla="*/ 260195 h 3926159"/>
                  <a:gd name="connsiteX819" fmla="*/ 1951464 w 3893634"/>
                  <a:gd name="connsiteY819" fmla="*/ 232317 h 3926159"/>
                  <a:gd name="connsiteX820" fmla="*/ 1956110 w 3893634"/>
                  <a:gd name="connsiteY820" fmla="*/ 218378 h 3926159"/>
                  <a:gd name="connsiteX821" fmla="*/ 1970049 w 3893634"/>
                  <a:gd name="connsiteY821" fmla="*/ 209086 h 3926159"/>
                  <a:gd name="connsiteX822" fmla="*/ 2011866 w 3893634"/>
                  <a:gd name="connsiteY822" fmla="*/ 227671 h 3926159"/>
                  <a:gd name="connsiteX823" fmla="*/ 2016513 w 3893634"/>
                  <a:gd name="connsiteY823" fmla="*/ 213732 h 3926159"/>
                  <a:gd name="connsiteX824" fmla="*/ 2011866 w 3893634"/>
                  <a:gd name="connsiteY824" fmla="*/ 190500 h 3926159"/>
                  <a:gd name="connsiteX825" fmla="*/ 2002573 w 3893634"/>
                  <a:gd name="connsiteY825" fmla="*/ 176561 h 3926159"/>
                  <a:gd name="connsiteX826" fmla="*/ 2030452 w 3893634"/>
                  <a:gd name="connsiteY826" fmla="*/ 162622 h 3926159"/>
                  <a:gd name="connsiteX827" fmla="*/ 2109439 w 3893634"/>
                  <a:gd name="connsiteY827" fmla="*/ 167269 h 3926159"/>
                  <a:gd name="connsiteX828" fmla="*/ 2123378 w 3893634"/>
                  <a:gd name="connsiteY828" fmla="*/ 176561 h 3926159"/>
                  <a:gd name="connsiteX829" fmla="*/ 2137317 w 3893634"/>
                  <a:gd name="connsiteY829" fmla="*/ 167269 h 3926159"/>
                  <a:gd name="connsiteX830" fmla="*/ 2155903 w 3893634"/>
                  <a:gd name="connsiteY830" fmla="*/ 139390 h 3926159"/>
                  <a:gd name="connsiteX831" fmla="*/ 2165195 w 3893634"/>
                  <a:gd name="connsiteY831" fmla="*/ 125451 h 3926159"/>
                  <a:gd name="connsiteX832" fmla="*/ 2179134 w 3893634"/>
                  <a:gd name="connsiteY832" fmla="*/ 116159 h 3926159"/>
                  <a:gd name="connsiteX833" fmla="*/ 2188427 w 3893634"/>
                  <a:gd name="connsiteY833" fmla="*/ 88281 h 3926159"/>
                  <a:gd name="connsiteX834" fmla="*/ 2202366 w 3893634"/>
                  <a:gd name="connsiteY834" fmla="*/ 37171 h 3926159"/>
                  <a:gd name="connsiteX835" fmla="*/ 2244183 w 3893634"/>
                  <a:gd name="connsiteY835" fmla="*/ 41817 h 3926159"/>
                  <a:gd name="connsiteX836" fmla="*/ 2248830 w 3893634"/>
                  <a:gd name="connsiteY836" fmla="*/ 55756 h 3926159"/>
                  <a:gd name="connsiteX837" fmla="*/ 2253476 w 3893634"/>
                  <a:gd name="connsiteY837" fmla="*/ 148683 h 3926159"/>
                  <a:gd name="connsiteX838" fmla="*/ 2262769 w 3893634"/>
                  <a:gd name="connsiteY838" fmla="*/ 134744 h 3926159"/>
                  <a:gd name="connsiteX839" fmla="*/ 2276708 w 3893634"/>
                  <a:gd name="connsiteY839" fmla="*/ 125451 h 3926159"/>
                  <a:gd name="connsiteX840" fmla="*/ 2286000 w 3893634"/>
                  <a:gd name="connsiteY840" fmla="*/ 88281 h 3926159"/>
                  <a:gd name="connsiteX841" fmla="*/ 2295293 w 3893634"/>
                  <a:gd name="connsiteY841" fmla="*/ 60403 h 3926159"/>
                  <a:gd name="connsiteX842" fmla="*/ 2299939 w 3893634"/>
                  <a:gd name="connsiteY842" fmla="*/ 46464 h 3926159"/>
                  <a:gd name="connsiteX843" fmla="*/ 2337110 w 3893634"/>
                  <a:gd name="connsiteY843" fmla="*/ 51110 h 3926159"/>
                  <a:gd name="connsiteX844" fmla="*/ 2341756 w 3893634"/>
                  <a:gd name="connsiteY844" fmla="*/ 65049 h 3926159"/>
                  <a:gd name="connsiteX845" fmla="*/ 2360342 w 3893634"/>
                  <a:gd name="connsiteY845" fmla="*/ 120805 h 3926159"/>
                  <a:gd name="connsiteX846" fmla="*/ 2374281 w 3893634"/>
                  <a:gd name="connsiteY846" fmla="*/ 116159 h 3926159"/>
                  <a:gd name="connsiteX847" fmla="*/ 2383573 w 3893634"/>
                  <a:gd name="connsiteY847" fmla="*/ 97573 h 3926159"/>
                  <a:gd name="connsiteX848" fmla="*/ 2388220 w 3893634"/>
                  <a:gd name="connsiteY848" fmla="*/ 4647 h 3926159"/>
                  <a:gd name="connsiteX849" fmla="*/ 2402159 w 3893634"/>
                  <a:gd name="connsiteY849" fmla="*/ 0 h 3926159"/>
                  <a:gd name="connsiteX850" fmla="*/ 2425391 w 3893634"/>
                  <a:gd name="connsiteY850" fmla="*/ 4647 h 3926159"/>
                  <a:gd name="connsiteX851" fmla="*/ 2434683 w 3893634"/>
                  <a:gd name="connsiteY851" fmla="*/ 32525 h 3926159"/>
                  <a:gd name="connsiteX852" fmla="*/ 2439330 w 3893634"/>
                  <a:gd name="connsiteY852" fmla="*/ 111512 h 3926159"/>
                  <a:gd name="connsiteX853" fmla="*/ 2462561 w 3893634"/>
                  <a:gd name="connsiteY853" fmla="*/ 106866 h 3926159"/>
                  <a:gd name="connsiteX854" fmla="*/ 2467208 w 3893634"/>
                  <a:gd name="connsiteY854" fmla="*/ 74342 h 3926159"/>
                  <a:gd name="connsiteX855" fmla="*/ 2471854 w 3893634"/>
                  <a:gd name="connsiteY855" fmla="*/ 60403 h 3926159"/>
                  <a:gd name="connsiteX856" fmla="*/ 2485793 w 3893634"/>
                  <a:gd name="connsiteY856" fmla="*/ 55756 h 3926159"/>
                  <a:gd name="connsiteX857" fmla="*/ 2541549 w 3893634"/>
                  <a:gd name="connsiteY857" fmla="*/ 65049 h 3926159"/>
                  <a:gd name="connsiteX858" fmla="*/ 2560134 w 3893634"/>
                  <a:gd name="connsiteY858" fmla="*/ 74342 h 3926159"/>
                  <a:gd name="connsiteX859" fmla="*/ 2588013 w 3893634"/>
                  <a:gd name="connsiteY859" fmla="*/ 92927 h 3926159"/>
                  <a:gd name="connsiteX860" fmla="*/ 2601952 w 3893634"/>
                  <a:gd name="connsiteY860" fmla="*/ 102220 h 3926159"/>
                  <a:gd name="connsiteX861" fmla="*/ 2592659 w 3893634"/>
                  <a:gd name="connsiteY861" fmla="*/ 130098 h 3926159"/>
                  <a:gd name="connsiteX862" fmla="*/ 2574073 w 3893634"/>
                  <a:gd name="connsiteY862" fmla="*/ 148683 h 3926159"/>
                  <a:gd name="connsiteX863" fmla="*/ 2560134 w 3893634"/>
                  <a:gd name="connsiteY863" fmla="*/ 157976 h 3926159"/>
                  <a:gd name="connsiteX864" fmla="*/ 2504378 w 3893634"/>
                  <a:gd name="connsiteY864" fmla="*/ 171915 h 3926159"/>
                  <a:gd name="connsiteX865" fmla="*/ 2490439 w 3893634"/>
                  <a:gd name="connsiteY865" fmla="*/ 176561 h 3926159"/>
                  <a:gd name="connsiteX866" fmla="*/ 2485793 w 3893634"/>
                  <a:gd name="connsiteY866" fmla="*/ 190500 h 3926159"/>
                  <a:gd name="connsiteX867" fmla="*/ 2499732 w 3893634"/>
                  <a:gd name="connsiteY867" fmla="*/ 199793 h 3926159"/>
                  <a:gd name="connsiteX868" fmla="*/ 2518317 w 3893634"/>
                  <a:gd name="connsiteY868" fmla="*/ 204439 h 3926159"/>
                  <a:gd name="connsiteX869" fmla="*/ 2532256 w 3893634"/>
                  <a:gd name="connsiteY869" fmla="*/ 209086 h 3926159"/>
                  <a:gd name="connsiteX870" fmla="*/ 2536903 w 3893634"/>
                  <a:gd name="connsiteY870" fmla="*/ 223025 h 3926159"/>
                  <a:gd name="connsiteX871" fmla="*/ 2518317 w 3893634"/>
                  <a:gd name="connsiteY871" fmla="*/ 250903 h 3926159"/>
                  <a:gd name="connsiteX872" fmla="*/ 2592659 w 3893634"/>
                  <a:gd name="connsiteY872" fmla="*/ 250903 h 3926159"/>
                  <a:gd name="connsiteX873" fmla="*/ 2639122 w 3893634"/>
                  <a:gd name="connsiteY873" fmla="*/ 255549 h 3926159"/>
                  <a:gd name="connsiteX874" fmla="*/ 2671647 w 3893634"/>
                  <a:gd name="connsiteY874" fmla="*/ 223025 h 3926159"/>
                  <a:gd name="connsiteX875" fmla="*/ 2685586 w 3893634"/>
                  <a:gd name="connsiteY875" fmla="*/ 218378 h 3926159"/>
                  <a:gd name="connsiteX876" fmla="*/ 2713464 w 3893634"/>
                  <a:gd name="connsiteY876" fmla="*/ 223025 h 3926159"/>
                  <a:gd name="connsiteX877" fmla="*/ 2741342 w 3893634"/>
                  <a:gd name="connsiteY877" fmla="*/ 232317 h 3926159"/>
                  <a:gd name="connsiteX878" fmla="*/ 2741342 w 3893634"/>
                  <a:gd name="connsiteY878" fmla="*/ 260195 h 3926159"/>
                  <a:gd name="connsiteX879" fmla="*/ 2713464 w 3893634"/>
                  <a:gd name="connsiteY879" fmla="*/ 269488 h 3926159"/>
                  <a:gd name="connsiteX880" fmla="*/ 2699525 w 3893634"/>
                  <a:gd name="connsiteY880" fmla="*/ 274134 h 3926159"/>
                  <a:gd name="connsiteX881" fmla="*/ 2694878 w 3893634"/>
                  <a:gd name="connsiteY881" fmla="*/ 288073 h 3926159"/>
                  <a:gd name="connsiteX882" fmla="*/ 2708817 w 3893634"/>
                  <a:gd name="connsiteY882" fmla="*/ 297366 h 3926159"/>
                  <a:gd name="connsiteX883" fmla="*/ 2741342 w 3893634"/>
                  <a:gd name="connsiteY883" fmla="*/ 306659 h 3926159"/>
                  <a:gd name="connsiteX884" fmla="*/ 2755281 w 3893634"/>
                  <a:gd name="connsiteY884" fmla="*/ 315951 h 3926159"/>
                  <a:gd name="connsiteX885" fmla="*/ 2797098 w 3893634"/>
                  <a:gd name="connsiteY885" fmla="*/ 320598 h 3926159"/>
                  <a:gd name="connsiteX886" fmla="*/ 2838915 w 3893634"/>
                  <a:gd name="connsiteY886" fmla="*/ 329890 h 3926159"/>
                  <a:gd name="connsiteX887" fmla="*/ 2862147 w 3893634"/>
                  <a:gd name="connsiteY887" fmla="*/ 334537 h 3926159"/>
                  <a:gd name="connsiteX888" fmla="*/ 2880732 w 3893634"/>
                  <a:gd name="connsiteY888" fmla="*/ 348476 h 3926159"/>
                  <a:gd name="connsiteX889" fmla="*/ 2922549 w 3893634"/>
                  <a:gd name="connsiteY889" fmla="*/ 362415 h 3926159"/>
                  <a:gd name="connsiteX890" fmla="*/ 2941134 w 3893634"/>
                  <a:gd name="connsiteY890" fmla="*/ 371708 h 3926159"/>
                  <a:gd name="connsiteX891" fmla="*/ 2955073 w 3893634"/>
                  <a:gd name="connsiteY891" fmla="*/ 376354 h 3926159"/>
                  <a:gd name="connsiteX892" fmla="*/ 2969013 w 3893634"/>
                  <a:gd name="connsiteY892" fmla="*/ 385647 h 3926159"/>
                  <a:gd name="connsiteX893" fmla="*/ 3001537 w 3893634"/>
                  <a:gd name="connsiteY893" fmla="*/ 394939 h 3926159"/>
                  <a:gd name="connsiteX894" fmla="*/ 3034061 w 3893634"/>
                  <a:gd name="connsiteY894" fmla="*/ 413525 h 3926159"/>
                  <a:gd name="connsiteX895" fmla="*/ 3048000 w 3893634"/>
                  <a:gd name="connsiteY895" fmla="*/ 418171 h 3926159"/>
                  <a:gd name="connsiteX896" fmla="*/ 3057293 w 3893634"/>
                  <a:gd name="connsiteY896" fmla="*/ 432110 h 3926159"/>
                  <a:gd name="connsiteX897" fmla="*/ 3071232 w 3893634"/>
                  <a:gd name="connsiteY897" fmla="*/ 436756 h 3926159"/>
                  <a:gd name="connsiteX898" fmla="*/ 3085171 w 3893634"/>
                  <a:gd name="connsiteY898" fmla="*/ 446049 h 3926159"/>
                  <a:gd name="connsiteX899" fmla="*/ 3108403 w 3893634"/>
                  <a:gd name="connsiteY899" fmla="*/ 473927 h 3926159"/>
                  <a:gd name="connsiteX900" fmla="*/ 3122342 w 3893634"/>
                  <a:gd name="connsiteY900" fmla="*/ 483220 h 3926159"/>
                  <a:gd name="connsiteX901" fmla="*/ 3150220 w 3893634"/>
                  <a:gd name="connsiteY901" fmla="*/ 501805 h 3926159"/>
                  <a:gd name="connsiteX902" fmla="*/ 3164159 w 3893634"/>
                  <a:gd name="connsiteY902" fmla="*/ 520390 h 3926159"/>
                  <a:gd name="connsiteX903" fmla="*/ 3192037 w 3893634"/>
                  <a:gd name="connsiteY903" fmla="*/ 538976 h 3926159"/>
                  <a:gd name="connsiteX904" fmla="*/ 3205976 w 3893634"/>
                  <a:gd name="connsiteY904" fmla="*/ 548269 h 3926159"/>
                  <a:gd name="connsiteX905" fmla="*/ 3238500 w 3893634"/>
                  <a:gd name="connsiteY905" fmla="*/ 585439 h 3926159"/>
                  <a:gd name="connsiteX906" fmla="*/ 3252439 w 3893634"/>
                  <a:gd name="connsiteY906" fmla="*/ 613317 h 3926159"/>
                  <a:gd name="connsiteX907" fmla="*/ 3257086 w 3893634"/>
                  <a:gd name="connsiteY907" fmla="*/ 627256 h 3926159"/>
                  <a:gd name="connsiteX908" fmla="*/ 3275671 w 3893634"/>
                  <a:gd name="connsiteY908" fmla="*/ 655134 h 3926159"/>
                  <a:gd name="connsiteX909" fmla="*/ 3271025 w 3893634"/>
                  <a:gd name="connsiteY909" fmla="*/ 720183 h 3926159"/>
                  <a:gd name="connsiteX910" fmla="*/ 3261732 w 3893634"/>
                  <a:gd name="connsiteY910" fmla="*/ 734122 h 3926159"/>
                  <a:gd name="connsiteX911" fmla="*/ 3243147 w 3893634"/>
                  <a:gd name="connsiteY911" fmla="*/ 762000 h 3926159"/>
                  <a:gd name="connsiteX912" fmla="*/ 3233854 w 3893634"/>
                  <a:gd name="connsiteY912" fmla="*/ 775939 h 3926159"/>
                  <a:gd name="connsiteX913" fmla="*/ 3205976 w 3893634"/>
                  <a:gd name="connsiteY913" fmla="*/ 794525 h 3926159"/>
                  <a:gd name="connsiteX914" fmla="*/ 3192037 w 3893634"/>
                  <a:gd name="connsiteY914" fmla="*/ 803817 h 3926159"/>
                  <a:gd name="connsiteX915" fmla="*/ 3164159 w 3893634"/>
                  <a:gd name="connsiteY915" fmla="*/ 813110 h 3926159"/>
                  <a:gd name="connsiteX916" fmla="*/ 3150220 w 3893634"/>
                  <a:gd name="connsiteY916" fmla="*/ 817756 h 3926159"/>
                  <a:gd name="connsiteX917" fmla="*/ 3136281 w 3893634"/>
                  <a:gd name="connsiteY917" fmla="*/ 827049 h 3926159"/>
                  <a:gd name="connsiteX918" fmla="*/ 3052647 w 3893634"/>
                  <a:gd name="connsiteY918" fmla="*/ 817756 h 3926159"/>
                  <a:gd name="connsiteX919" fmla="*/ 3020122 w 3893634"/>
                  <a:gd name="connsiteY919" fmla="*/ 808464 h 3926159"/>
                  <a:gd name="connsiteX920" fmla="*/ 3001537 w 3893634"/>
                  <a:gd name="connsiteY920" fmla="*/ 803817 h 3926159"/>
                  <a:gd name="connsiteX921" fmla="*/ 2936488 w 3893634"/>
                  <a:gd name="connsiteY921" fmla="*/ 789878 h 3926159"/>
                  <a:gd name="connsiteX922" fmla="*/ 2876086 w 3893634"/>
                  <a:gd name="connsiteY922" fmla="*/ 785232 h 3926159"/>
                  <a:gd name="connsiteX923" fmla="*/ 2862147 w 3893634"/>
                  <a:gd name="connsiteY923" fmla="*/ 775939 h 3926159"/>
                  <a:gd name="connsiteX924" fmla="*/ 2848208 w 3893634"/>
                  <a:gd name="connsiteY924" fmla="*/ 771293 h 3926159"/>
                  <a:gd name="connsiteX925" fmla="*/ 2820330 w 3893634"/>
                  <a:gd name="connsiteY925" fmla="*/ 752708 h 3926159"/>
                  <a:gd name="connsiteX926" fmla="*/ 2801744 w 3893634"/>
                  <a:gd name="connsiteY926" fmla="*/ 743415 h 3926159"/>
                  <a:gd name="connsiteX927" fmla="*/ 2787805 w 3893634"/>
                  <a:gd name="connsiteY927" fmla="*/ 734122 h 3926159"/>
                  <a:gd name="connsiteX928" fmla="*/ 2769220 w 3893634"/>
                  <a:gd name="connsiteY928" fmla="*/ 729476 h 3926159"/>
                  <a:gd name="connsiteX929" fmla="*/ 2759927 w 3893634"/>
                  <a:gd name="connsiteY929" fmla="*/ 715537 h 3926159"/>
                  <a:gd name="connsiteX930" fmla="*/ 2745988 w 3893634"/>
                  <a:gd name="connsiteY930" fmla="*/ 710890 h 3926159"/>
                  <a:gd name="connsiteX931" fmla="*/ 2718110 w 3893634"/>
                  <a:gd name="connsiteY931" fmla="*/ 696951 h 3926159"/>
                  <a:gd name="connsiteX932" fmla="*/ 2699525 w 3893634"/>
                  <a:gd name="connsiteY932" fmla="*/ 701598 h 3926159"/>
                  <a:gd name="connsiteX933" fmla="*/ 2704171 w 3893634"/>
                  <a:gd name="connsiteY933" fmla="*/ 715537 h 3926159"/>
                  <a:gd name="connsiteX934" fmla="*/ 2736695 w 3893634"/>
                  <a:gd name="connsiteY934" fmla="*/ 762000 h 3926159"/>
                  <a:gd name="connsiteX935" fmla="*/ 2759927 w 3893634"/>
                  <a:gd name="connsiteY935" fmla="*/ 789878 h 3926159"/>
                  <a:gd name="connsiteX936" fmla="*/ 2778513 w 3893634"/>
                  <a:gd name="connsiteY936" fmla="*/ 813110 h 3926159"/>
                  <a:gd name="connsiteX937" fmla="*/ 2797098 w 3893634"/>
                  <a:gd name="connsiteY937" fmla="*/ 831695 h 3926159"/>
                  <a:gd name="connsiteX938" fmla="*/ 2811037 w 3893634"/>
                  <a:gd name="connsiteY938" fmla="*/ 845634 h 3926159"/>
                  <a:gd name="connsiteX939" fmla="*/ 2824976 w 3893634"/>
                  <a:gd name="connsiteY939" fmla="*/ 854927 h 3926159"/>
                  <a:gd name="connsiteX940" fmla="*/ 2838915 w 3893634"/>
                  <a:gd name="connsiteY940" fmla="*/ 873512 h 3926159"/>
                  <a:gd name="connsiteX941" fmla="*/ 2857500 w 3893634"/>
                  <a:gd name="connsiteY941" fmla="*/ 901390 h 3926159"/>
                  <a:gd name="connsiteX942" fmla="*/ 2848208 w 3893634"/>
                  <a:gd name="connsiteY942" fmla="*/ 933915 h 3926159"/>
                  <a:gd name="connsiteX943" fmla="*/ 2838915 w 3893634"/>
                  <a:gd name="connsiteY943" fmla="*/ 947854 h 3926159"/>
                  <a:gd name="connsiteX944" fmla="*/ 2838915 w 3893634"/>
                  <a:gd name="connsiteY944" fmla="*/ 1012903 h 3926159"/>
                  <a:gd name="connsiteX945" fmla="*/ 2848208 w 3893634"/>
                  <a:gd name="connsiteY945" fmla="*/ 1026842 h 3926159"/>
                  <a:gd name="connsiteX946" fmla="*/ 2866793 w 3893634"/>
                  <a:gd name="connsiteY946" fmla="*/ 1068659 h 3926159"/>
                  <a:gd name="connsiteX947" fmla="*/ 2880732 w 3893634"/>
                  <a:gd name="connsiteY947" fmla="*/ 1077951 h 3926159"/>
                  <a:gd name="connsiteX948" fmla="*/ 2908610 w 3893634"/>
                  <a:gd name="connsiteY948" fmla="*/ 1101183 h 3926159"/>
                  <a:gd name="connsiteX949" fmla="*/ 2931842 w 3893634"/>
                  <a:gd name="connsiteY949" fmla="*/ 1119769 h 3926159"/>
                  <a:gd name="connsiteX950" fmla="*/ 2964366 w 3893634"/>
                  <a:gd name="connsiteY950" fmla="*/ 1143000 h 3926159"/>
                  <a:gd name="connsiteX951" fmla="*/ 2978305 w 3893634"/>
                  <a:gd name="connsiteY951" fmla="*/ 1156939 h 3926159"/>
                  <a:gd name="connsiteX952" fmla="*/ 3006183 w 3893634"/>
                  <a:gd name="connsiteY952" fmla="*/ 1166232 h 3926159"/>
                  <a:gd name="connsiteX953" fmla="*/ 3024769 w 3893634"/>
                  <a:gd name="connsiteY953" fmla="*/ 1175525 h 3926159"/>
                  <a:gd name="connsiteX954" fmla="*/ 3057293 w 3893634"/>
                  <a:gd name="connsiteY954" fmla="*/ 1166232 h 3926159"/>
                  <a:gd name="connsiteX955" fmla="*/ 3066586 w 3893634"/>
                  <a:gd name="connsiteY955" fmla="*/ 1152293 h 3926159"/>
                  <a:gd name="connsiteX956" fmla="*/ 3061939 w 3893634"/>
                  <a:gd name="connsiteY956" fmla="*/ 1105829 h 3926159"/>
                  <a:gd name="connsiteX957" fmla="*/ 3038708 w 3893634"/>
                  <a:gd name="connsiteY957" fmla="*/ 1101183 h 3926159"/>
                  <a:gd name="connsiteX958" fmla="*/ 3020122 w 3893634"/>
                  <a:gd name="connsiteY958" fmla="*/ 1096537 h 3926159"/>
                  <a:gd name="connsiteX959" fmla="*/ 3006183 w 3893634"/>
                  <a:gd name="connsiteY959" fmla="*/ 1087244 h 3926159"/>
                  <a:gd name="connsiteX960" fmla="*/ 2992244 w 3893634"/>
                  <a:gd name="connsiteY960" fmla="*/ 1054720 h 3926159"/>
                  <a:gd name="connsiteX961" fmla="*/ 2978305 w 3893634"/>
                  <a:gd name="connsiteY961" fmla="*/ 1026842 h 3926159"/>
                  <a:gd name="connsiteX962" fmla="*/ 3006183 w 3893634"/>
                  <a:gd name="connsiteY962" fmla="*/ 998964 h 3926159"/>
                  <a:gd name="connsiteX963" fmla="*/ 3034061 w 3893634"/>
                  <a:gd name="connsiteY963" fmla="*/ 989671 h 3926159"/>
                  <a:gd name="connsiteX964" fmla="*/ 3080525 w 3893634"/>
                  <a:gd name="connsiteY964" fmla="*/ 994317 h 3926159"/>
                  <a:gd name="connsiteX965" fmla="*/ 3113049 w 3893634"/>
                  <a:gd name="connsiteY965" fmla="*/ 1012903 h 3926159"/>
                  <a:gd name="connsiteX966" fmla="*/ 3140927 w 3893634"/>
                  <a:gd name="connsiteY966" fmla="*/ 1026842 h 3926159"/>
                  <a:gd name="connsiteX967" fmla="*/ 3168805 w 3893634"/>
                  <a:gd name="connsiteY967" fmla="*/ 1045427 h 3926159"/>
                  <a:gd name="connsiteX968" fmla="*/ 3215269 w 3893634"/>
                  <a:gd name="connsiteY968" fmla="*/ 1064012 h 3926159"/>
                  <a:gd name="connsiteX969" fmla="*/ 3229208 w 3893634"/>
                  <a:gd name="connsiteY969" fmla="*/ 1068659 h 3926159"/>
                  <a:gd name="connsiteX970" fmla="*/ 3243147 w 3893634"/>
                  <a:gd name="connsiteY970" fmla="*/ 1064012 h 3926159"/>
                  <a:gd name="connsiteX971" fmla="*/ 3224561 w 3893634"/>
                  <a:gd name="connsiteY971" fmla="*/ 1026842 h 3926159"/>
                  <a:gd name="connsiteX972" fmla="*/ 3210622 w 3893634"/>
                  <a:gd name="connsiteY972" fmla="*/ 985025 h 3926159"/>
                  <a:gd name="connsiteX973" fmla="*/ 3205976 w 3893634"/>
                  <a:gd name="connsiteY973" fmla="*/ 966439 h 3926159"/>
                  <a:gd name="connsiteX974" fmla="*/ 3196683 w 3893634"/>
                  <a:gd name="connsiteY974" fmla="*/ 938561 h 3926159"/>
                  <a:gd name="connsiteX975" fmla="*/ 3201330 w 3893634"/>
                  <a:gd name="connsiteY975" fmla="*/ 896744 h 3926159"/>
                  <a:gd name="connsiteX976" fmla="*/ 3205976 w 3893634"/>
                  <a:gd name="connsiteY976" fmla="*/ 882805 h 3926159"/>
                  <a:gd name="connsiteX977" fmla="*/ 3238500 w 3893634"/>
                  <a:gd name="connsiteY977" fmla="*/ 864220 h 3926159"/>
                  <a:gd name="connsiteX978" fmla="*/ 3298903 w 3893634"/>
                  <a:gd name="connsiteY978" fmla="*/ 822403 h 3926159"/>
                  <a:gd name="connsiteX979" fmla="*/ 3308195 w 3893634"/>
                  <a:gd name="connsiteY979" fmla="*/ 808464 h 3926159"/>
                  <a:gd name="connsiteX980" fmla="*/ 3336073 w 3893634"/>
                  <a:gd name="connsiteY980" fmla="*/ 789878 h 3926159"/>
                  <a:gd name="connsiteX981" fmla="*/ 3387183 w 3893634"/>
                  <a:gd name="connsiteY981" fmla="*/ 794525 h 3926159"/>
                  <a:gd name="connsiteX982" fmla="*/ 3396476 w 3893634"/>
                  <a:gd name="connsiteY982" fmla="*/ 808464 h 3926159"/>
                  <a:gd name="connsiteX983" fmla="*/ 3429000 w 3893634"/>
                  <a:gd name="connsiteY983" fmla="*/ 827049 h 3926159"/>
                  <a:gd name="connsiteX984" fmla="*/ 3442939 w 3893634"/>
                  <a:gd name="connsiteY984" fmla="*/ 840988 h 3926159"/>
                  <a:gd name="connsiteX985" fmla="*/ 3470817 w 3893634"/>
                  <a:gd name="connsiteY985" fmla="*/ 854927 h 3926159"/>
                  <a:gd name="connsiteX986" fmla="*/ 3475464 w 3893634"/>
                  <a:gd name="connsiteY986" fmla="*/ 840988 h 3926159"/>
                  <a:gd name="connsiteX987" fmla="*/ 3466171 w 3893634"/>
                  <a:gd name="connsiteY987" fmla="*/ 794525 h 3926159"/>
                  <a:gd name="connsiteX988" fmla="*/ 3470817 w 3893634"/>
                  <a:gd name="connsiteY988" fmla="*/ 738769 h 3926159"/>
                  <a:gd name="connsiteX989" fmla="*/ 3480110 w 3893634"/>
                  <a:gd name="connsiteY989" fmla="*/ 724829 h 3926159"/>
                  <a:gd name="connsiteX990" fmla="*/ 3489403 w 3893634"/>
                  <a:gd name="connsiteY990" fmla="*/ 696951 h 3926159"/>
                  <a:gd name="connsiteX991" fmla="*/ 3480110 w 3893634"/>
                  <a:gd name="connsiteY991" fmla="*/ 683012 h 3926159"/>
                  <a:gd name="connsiteX992" fmla="*/ 3466171 w 3893634"/>
                  <a:gd name="connsiteY992" fmla="*/ 673720 h 3926159"/>
                  <a:gd name="connsiteX993" fmla="*/ 3447586 w 3893634"/>
                  <a:gd name="connsiteY993" fmla="*/ 650488 h 3926159"/>
                  <a:gd name="connsiteX994" fmla="*/ 3447586 w 3893634"/>
                  <a:gd name="connsiteY994" fmla="*/ 538976 h 3926159"/>
                  <a:gd name="connsiteX995" fmla="*/ 3456878 w 3893634"/>
                  <a:gd name="connsiteY995" fmla="*/ 492512 h 3926159"/>
                  <a:gd name="connsiteX996" fmla="*/ 3452232 w 3893634"/>
                  <a:gd name="connsiteY996" fmla="*/ 450695 h 3926159"/>
                  <a:gd name="connsiteX997" fmla="*/ 3424354 w 3893634"/>
                  <a:gd name="connsiteY997" fmla="*/ 432110 h 3926159"/>
                  <a:gd name="connsiteX998" fmla="*/ 3489403 w 3893634"/>
                  <a:gd name="connsiteY998" fmla="*/ 436756 h 3926159"/>
                  <a:gd name="connsiteX999" fmla="*/ 3512634 w 3893634"/>
                  <a:gd name="connsiteY999" fmla="*/ 441403 h 3926159"/>
                  <a:gd name="connsiteX1000" fmla="*/ 3545159 w 3893634"/>
                  <a:gd name="connsiteY1000" fmla="*/ 446049 h 3926159"/>
                  <a:gd name="connsiteX1001" fmla="*/ 3559098 w 3893634"/>
                  <a:gd name="connsiteY1001" fmla="*/ 455342 h 3926159"/>
                  <a:gd name="connsiteX1002" fmla="*/ 3577683 w 3893634"/>
                  <a:gd name="connsiteY1002" fmla="*/ 464634 h 3926159"/>
                  <a:gd name="connsiteX1003" fmla="*/ 3596269 w 3893634"/>
                  <a:gd name="connsiteY1003" fmla="*/ 478573 h 3926159"/>
                  <a:gd name="connsiteX1004" fmla="*/ 3610208 w 3893634"/>
                  <a:gd name="connsiteY1004" fmla="*/ 487866 h 3926159"/>
                  <a:gd name="connsiteX1005" fmla="*/ 3614854 w 3893634"/>
                  <a:gd name="connsiteY1005" fmla="*/ 501805 h 3926159"/>
                  <a:gd name="connsiteX1006" fmla="*/ 3624147 w 3893634"/>
                  <a:gd name="connsiteY1006" fmla="*/ 515744 h 3926159"/>
                  <a:gd name="connsiteX1007" fmla="*/ 3628793 w 3893634"/>
                  <a:gd name="connsiteY1007" fmla="*/ 534329 h 3926159"/>
                  <a:gd name="connsiteX1008" fmla="*/ 3633439 w 3893634"/>
                  <a:gd name="connsiteY1008" fmla="*/ 548269 h 3926159"/>
                  <a:gd name="connsiteX1009" fmla="*/ 3628793 w 3893634"/>
                  <a:gd name="connsiteY1009" fmla="*/ 566854 h 3926159"/>
                  <a:gd name="connsiteX1010" fmla="*/ 3591622 w 3893634"/>
                  <a:gd name="connsiteY1010" fmla="*/ 580793 h 3926159"/>
                  <a:gd name="connsiteX1011" fmla="*/ 3577683 w 3893634"/>
                  <a:gd name="connsiteY1011" fmla="*/ 590086 h 3926159"/>
                  <a:gd name="connsiteX1012" fmla="*/ 3540513 w 3893634"/>
                  <a:gd name="connsiteY1012" fmla="*/ 604025 h 3926159"/>
                  <a:gd name="connsiteX1013" fmla="*/ 3531220 w 3893634"/>
                  <a:gd name="connsiteY1013" fmla="*/ 617964 h 3926159"/>
                  <a:gd name="connsiteX1014" fmla="*/ 3545159 w 3893634"/>
                  <a:gd name="connsiteY1014" fmla="*/ 641195 h 3926159"/>
                  <a:gd name="connsiteX1015" fmla="*/ 3563744 w 3893634"/>
                  <a:gd name="connsiteY1015" fmla="*/ 669073 h 3926159"/>
                  <a:gd name="connsiteX1016" fmla="*/ 3582330 w 3893634"/>
                  <a:gd name="connsiteY1016" fmla="*/ 696951 h 3926159"/>
                  <a:gd name="connsiteX1017" fmla="*/ 3591622 w 3893634"/>
                  <a:gd name="connsiteY1017" fmla="*/ 710890 h 3926159"/>
                  <a:gd name="connsiteX1018" fmla="*/ 3605561 w 3893634"/>
                  <a:gd name="connsiteY1018" fmla="*/ 715537 h 3926159"/>
                  <a:gd name="connsiteX1019" fmla="*/ 3628793 w 3893634"/>
                  <a:gd name="connsiteY1019" fmla="*/ 720183 h 3926159"/>
                  <a:gd name="connsiteX1020" fmla="*/ 3642732 w 3893634"/>
                  <a:gd name="connsiteY1020" fmla="*/ 729476 h 3926159"/>
                  <a:gd name="connsiteX1021" fmla="*/ 3661317 w 3893634"/>
                  <a:gd name="connsiteY1021" fmla="*/ 706244 h 3926159"/>
                  <a:gd name="connsiteX1022" fmla="*/ 3665964 w 3893634"/>
                  <a:gd name="connsiteY1022" fmla="*/ 664427 h 3926159"/>
                  <a:gd name="connsiteX1023" fmla="*/ 3670610 w 3893634"/>
                  <a:gd name="connsiteY1023" fmla="*/ 650488 h 3926159"/>
                  <a:gd name="connsiteX1024" fmla="*/ 3684549 w 3893634"/>
                  <a:gd name="connsiteY1024" fmla="*/ 636549 h 3926159"/>
                  <a:gd name="connsiteX1025" fmla="*/ 3703134 w 3893634"/>
                  <a:gd name="connsiteY1025" fmla="*/ 608671 h 3926159"/>
                  <a:gd name="connsiteX1026" fmla="*/ 3721720 w 3893634"/>
                  <a:gd name="connsiteY1026" fmla="*/ 594732 h 3926159"/>
                  <a:gd name="connsiteX1027" fmla="*/ 3735659 w 3893634"/>
                  <a:gd name="connsiteY1027" fmla="*/ 590086 h 3926159"/>
                  <a:gd name="connsiteX1028" fmla="*/ 3768183 w 3893634"/>
                  <a:gd name="connsiteY1028" fmla="*/ 576147 h 3926159"/>
                  <a:gd name="connsiteX1029" fmla="*/ 3782122 w 3893634"/>
                  <a:gd name="connsiteY1029" fmla="*/ 566854 h 3926159"/>
                  <a:gd name="connsiteX1030" fmla="*/ 3796061 w 3893634"/>
                  <a:gd name="connsiteY1030" fmla="*/ 552915 h 3926159"/>
                  <a:gd name="connsiteX1031" fmla="*/ 3810000 w 3893634"/>
                  <a:gd name="connsiteY1031" fmla="*/ 548269 h 3926159"/>
                  <a:gd name="connsiteX1032" fmla="*/ 3823939 w 3893634"/>
                  <a:gd name="connsiteY1032" fmla="*/ 538976 h 3926159"/>
                  <a:gd name="connsiteX1033" fmla="*/ 3851817 w 3893634"/>
                  <a:gd name="connsiteY1033" fmla="*/ 529683 h 3926159"/>
                  <a:gd name="connsiteX1034" fmla="*/ 3865756 w 3893634"/>
                  <a:gd name="connsiteY1034" fmla="*/ 520390 h 3926159"/>
                  <a:gd name="connsiteX1035" fmla="*/ 3879695 w 3893634"/>
                  <a:gd name="connsiteY1035" fmla="*/ 497159 h 392615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 ang="0">
                    <a:pos x="connsiteX153" y="connsiteY153"/>
                  </a:cxn>
                  <a:cxn ang="0">
                    <a:pos x="connsiteX154" y="connsiteY154"/>
                  </a:cxn>
                  <a:cxn ang="0">
                    <a:pos x="connsiteX155" y="connsiteY155"/>
                  </a:cxn>
                  <a:cxn ang="0">
                    <a:pos x="connsiteX156" y="connsiteY156"/>
                  </a:cxn>
                  <a:cxn ang="0">
                    <a:pos x="connsiteX157" y="connsiteY157"/>
                  </a:cxn>
                  <a:cxn ang="0">
                    <a:pos x="connsiteX158" y="connsiteY158"/>
                  </a:cxn>
                  <a:cxn ang="0">
                    <a:pos x="connsiteX159" y="connsiteY159"/>
                  </a:cxn>
                  <a:cxn ang="0">
                    <a:pos x="connsiteX160" y="connsiteY160"/>
                  </a:cxn>
                  <a:cxn ang="0">
                    <a:pos x="connsiteX161" y="connsiteY161"/>
                  </a:cxn>
                  <a:cxn ang="0">
                    <a:pos x="connsiteX162" y="connsiteY162"/>
                  </a:cxn>
                  <a:cxn ang="0">
                    <a:pos x="connsiteX163" y="connsiteY163"/>
                  </a:cxn>
                  <a:cxn ang="0">
                    <a:pos x="connsiteX164" y="connsiteY164"/>
                  </a:cxn>
                  <a:cxn ang="0">
                    <a:pos x="connsiteX165" y="connsiteY165"/>
                  </a:cxn>
                  <a:cxn ang="0">
                    <a:pos x="connsiteX166" y="connsiteY166"/>
                  </a:cxn>
                  <a:cxn ang="0">
                    <a:pos x="connsiteX167" y="connsiteY167"/>
                  </a:cxn>
                  <a:cxn ang="0">
                    <a:pos x="connsiteX168" y="connsiteY168"/>
                  </a:cxn>
                  <a:cxn ang="0">
                    <a:pos x="connsiteX169" y="connsiteY169"/>
                  </a:cxn>
                  <a:cxn ang="0">
                    <a:pos x="connsiteX170" y="connsiteY170"/>
                  </a:cxn>
                  <a:cxn ang="0">
                    <a:pos x="connsiteX171" y="connsiteY171"/>
                  </a:cxn>
                  <a:cxn ang="0">
                    <a:pos x="connsiteX172" y="connsiteY172"/>
                  </a:cxn>
                  <a:cxn ang="0">
                    <a:pos x="connsiteX173" y="connsiteY173"/>
                  </a:cxn>
                  <a:cxn ang="0">
                    <a:pos x="connsiteX174" y="connsiteY174"/>
                  </a:cxn>
                  <a:cxn ang="0">
                    <a:pos x="connsiteX175" y="connsiteY175"/>
                  </a:cxn>
                  <a:cxn ang="0">
                    <a:pos x="connsiteX176" y="connsiteY176"/>
                  </a:cxn>
                  <a:cxn ang="0">
                    <a:pos x="connsiteX177" y="connsiteY177"/>
                  </a:cxn>
                  <a:cxn ang="0">
                    <a:pos x="connsiteX178" y="connsiteY178"/>
                  </a:cxn>
                  <a:cxn ang="0">
                    <a:pos x="connsiteX179" y="connsiteY179"/>
                  </a:cxn>
                  <a:cxn ang="0">
                    <a:pos x="connsiteX180" y="connsiteY180"/>
                  </a:cxn>
                  <a:cxn ang="0">
                    <a:pos x="connsiteX181" y="connsiteY181"/>
                  </a:cxn>
                  <a:cxn ang="0">
                    <a:pos x="connsiteX182" y="connsiteY182"/>
                  </a:cxn>
                  <a:cxn ang="0">
                    <a:pos x="connsiteX183" y="connsiteY183"/>
                  </a:cxn>
                  <a:cxn ang="0">
                    <a:pos x="connsiteX184" y="connsiteY184"/>
                  </a:cxn>
                  <a:cxn ang="0">
                    <a:pos x="connsiteX185" y="connsiteY185"/>
                  </a:cxn>
                  <a:cxn ang="0">
                    <a:pos x="connsiteX186" y="connsiteY186"/>
                  </a:cxn>
                  <a:cxn ang="0">
                    <a:pos x="connsiteX187" y="connsiteY187"/>
                  </a:cxn>
                  <a:cxn ang="0">
                    <a:pos x="connsiteX188" y="connsiteY188"/>
                  </a:cxn>
                  <a:cxn ang="0">
                    <a:pos x="connsiteX189" y="connsiteY189"/>
                  </a:cxn>
                  <a:cxn ang="0">
                    <a:pos x="connsiteX190" y="connsiteY190"/>
                  </a:cxn>
                  <a:cxn ang="0">
                    <a:pos x="connsiteX191" y="connsiteY191"/>
                  </a:cxn>
                  <a:cxn ang="0">
                    <a:pos x="connsiteX192" y="connsiteY192"/>
                  </a:cxn>
                  <a:cxn ang="0">
                    <a:pos x="connsiteX193" y="connsiteY193"/>
                  </a:cxn>
                  <a:cxn ang="0">
                    <a:pos x="connsiteX194" y="connsiteY194"/>
                  </a:cxn>
                  <a:cxn ang="0">
                    <a:pos x="connsiteX195" y="connsiteY195"/>
                  </a:cxn>
                  <a:cxn ang="0">
                    <a:pos x="connsiteX196" y="connsiteY196"/>
                  </a:cxn>
                  <a:cxn ang="0">
                    <a:pos x="connsiteX197" y="connsiteY197"/>
                  </a:cxn>
                  <a:cxn ang="0">
                    <a:pos x="connsiteX198" y="connsiteY198"/>
                  </a:cxn>
                  <a:cxn ang="0">
                    <a:pos x="connsiteX199" y="connsiteY199"/>
                  </a:cxn>
                  <a:cxn ang="0">
                    <a:pos x="connsiteX200" y="connsiteY200"/>
                  </a:cxn>
                  <a:cxn ang="0">
                    <a:pos x="connsiteX201" y="connsiteY201"/>
                  </a:cxn>
                  <a:cxn ang="0">
                    <a:pos x="connsiteX202" y="connsiteY202"/>
                  </a:cxn>
                  <a:cxn ang="0">
                    <a:pos x="connsiteX203" y="connsiteY203"/>
                  </a:cxn>
                  <a:cxn ang="0">
                    <a:pos x="connsiteX204" y="connsiteY204"/>
                  </a:cxn>
                  <a:cxn ang="0">
                    <a:pos x="connsiteX205" y="connsiteY205"/>
                  </a:cxn>
                  <a:cxn ang="0">
                    <a:pos x="connsiteX206" y="connsiteY206"/>
                  </a:cxn>
                  <a:cxn ang="0">
                    <a:pos x="connsiteX207" y="connsiteY207"/>
                  </a:cxn>
                  <a:cxn ang="0">
                    <a:pos x="connsiteX208" y="connsiteY208"/>
                  </a:cxn>
                  <a:cxn ang="0">
                    <a:pos x="connsiteX209" y="connsiteY209"/>
                  </a:cxn>
                  <a:cxn ang="0">
                    <a:pos x="connsiteX210" y="connsiteY210"/>
                  </a:cxn>
                  <a:cxn ang="0">
                    <a:pos x="connsiteX211" y="connsiteY211"/>
                  </a:cxn>
                  <a:cxn ang="0">
                    <a:pos x="connsiteX212" y="connsiteY212"/>
                  </a:cxn>
                  <a:cxn ang="0">
                    <a:pos x="connsiteX213" y="connsiteY213"/>
                  </a:cxn>
                  <a:cxn ang="0">
                    <a:pos x="connsiteX214" y="connsiteY214"/>
                  </a:cxn>
                  <a:cxn ang="0">
                    <a:pos x="connsiteX215" y="connsiteY215"/>
                  </a:cxn>
                  <a:cxn ang="0">
                    <a:pos x="connsiteX216" y="connsiteY216"/>
                  </a:cxn>
                  <a:cxn ang="0">
                    <a:pos x="connsiteX217" y="connsiteY217"/>
                  </a:cxn>
                  <a:cxn ang="0">
                    <a:pos x="connsiteX218" y="connsiteY218"/>
                  </a:cxn>
                  <a:cxn ang="0">
                    <a:pos x="connsiteX219" y="connsiteY219"/>
                  </a:cxn>
                  <a:cxn ang="0">
                    <a:pos x="connsiteX220" y="connsiteY220"/>
                  </a:cxn>
                  <a:cxn ang="0">
                    <a:pos x="connsiteX221" y="connsiteY221"/>
                  </a:cxn>
                  <a:cxn ang="0">
                    <a:pos x="connsiteX222" y="connsiteY222"/>
                  </a:cxn>
                  <a:cxn ang="0">
                    <a:pos x="connsiteX223" y="connsiteY223"/>
                  </a:cxn>
                  <a:cxn ang="0">
                    <a:pos x="connsiteX224" y="connsiteY224"/>
                  </a:cxn>
                  <a:cxn ang="0">
                    <a:pos x="connsiteX225" y="connsiteY225"/>
                  </a:cxn>
                  <a:cxn ang="0">
                    <a:pos x="connsiteX226" y="connsiteY226"/>
                  </a:cxn>
                  <a:cxn ang="0">
                    <a:pos x="connsiteX227" y="connsiteY227"/>
                  </a:cxn>
                  <a:cxn ang="0">
                    <a:pos x="connsiteX228" y="connsiteY228"/>
                  </a:cxn>
                  <a:cxn ang="0">
                    <a:pos x="connsiteX229" y="connsiteY229"/>
                  </a:cxn>
                  <a:cxn ang="0">
                    <a:pos x="connsiteX230" y="connsiteY230"/>
                  </a:cxn>
                  <a:cxn ang="0">
                    <a:pos x="connsiteX231" y="connsiteY231"/>
                  </a:cxn>
                  <a:cxn ang="0">
                    <a:pos x="connsiteX232" y="connsiteY232"/>
                  </a:cxn>
                  <a:cxn ang="0">
                    <a:pos x="connsiteX233" y="connsiteY233"/>
                  </a:cxn>
                  <a:cxn ang="0">
                    <a:pos x="connsiteX234" y="connsiteY234"/>
                  </a:cxn>
                  <a:cxn ang="0">
                    <a:pos x="connsiteX235" y="connsiteY235"/>
                  </a:cxn>
                  <a:cxn ang="0">
                    <a:pos x="connsiteX236" y="connsiteY236"/>
                  </a:cxn>
                  <a:cxn ang="0">
                    <a:pos x="connsiteX237" y="connsiteY237"/>
                  </a:cxn>
                  <a:cxn ang="0">
                    <a:pos x="connsiteX238" y="connsiteY238"/>
                  </a:cxn>
                  <a:cxn ang="0">
                    <a:pos x="connsiteX239" y="connsiteY239"/>
                  </a:cxn>
                  <a:cxn ang="0">
                    <a:pos x="connsiteX240" y="connsiteY240"/>
                  </a:cxn>
                  <a:cxn ang="0">
                    <a:pos x="connsiteX241" y="connsiteY241"/>
                  </a:cxn>
                  <a:cxn ang="0">
                    <a:pos x="connsiteX242" y="connsiteY242"/>
                  </a:cxn>
                  <a:cxn ang="0">
                    <a:pos x="connsiteX243" y="connsiteY243"/>
                  </a:cxn>
                  <a:cxn ang="0">
                    <a:pos x="connsiteX244" y="connsiteY244"/>
                  </a:cxn>
                  <a:cxn ang="0">
                    <a:pos x="connsiteX245" y="connsiteY245"/>
                  </a:cxn>
                  <a:cxn ang="0">
                    <a:pos x="connsiteX246" y="connsiteY246"/>
                  </a:cxn>
                  <a:cxn ang="0">
                    <a:pos x="connsiteX247" y="connsiteY247"/>
                  </a:cxn>
                  <a:cxn ang="0">
                    <a:pos x="connsiteX248" y="connsiteY248"/>
                  </a:cxn>
                  <a:cxn ang="0">
                    <a:pos x="connsiteX249" y="connsiteY249"/>
                  </a:cxn>
                  <a:cxn ang="0">
                    <a:pos x="connsiteX250" y="connsiteY250"/>
                  </a:cxn>
                  <a:cxn ang="0">
                    <a:pos x="connsiteX251" y="connsiteY251"/>
                  </a:cxn>
                  <a:cxn ang="0">
                    <a:pos x="connsiteX252" y="connsiteY252"/>
                  </a:cxn>
                  <a:cxn ang="0">
                    <a:pos x="connsiteX253" y="connsiteY253"/>
                  </a:cxn>
                  <a:cxn ang="0">
                    <a:pos x="connsiteX254" y="connsiteY254"/>
                  </a:cxn>
                  <a:cxn ang="0">
                    <a:pos x="connsiteX255" y="connsiteY255"/>
                  </a:cxn>
                  <a:cxn ang="0">
                    <a:pos x="connsiteX256" y="connsiteY256"/>
                  </a:cxn>
                  <a:cxn ang="0">
                    <a:pos x="connsiteX257" y="connsiteY257"/>
                  </a:cxn>
                  <a:cxn ang="0">
                    <a:pos x="connsiteX258" y="connsiteY258"/>
                  </a:cxn>
                  <a:cxn ang="0">
                    <a:pos x="connsiteX259" y="connsiteY259"/>
                  </a:cxn>
                  <a:cxn ang="0">
                    <a:pos x="connsiteX260" y="connsiteY260"/>
                  </a:cxn>
                  <a:cxn ang="0">
                    <a:pos x="connsiteX261" y="connsiteY261"/>
                  </a:cxn>
                  <a:cxn ang="0">
                    <a:pos x="connsiteX262" y="connsiteY262"/>
                  </a:cxn>
                  <a:cxn ang="0">
                    <a:pos x="connsiteX263" y="connsiteY263"/>
                  </a:cxn>
                  <a:cxn ang="0">
                    <a:pos x="connsiteX264" y="connsiteY264"/>
                  </a:cxn>
                  <a:cxn ang="0">
                    <a:pos x="connsiteX265" y="connsiteY265"/>
                  </a:cxn>
                  <a:cxn ang="0">
                    <a:pos x="connsiteX266" y="connsiteY266"/>
                  </a:cxn>
                  <a:cxn ang="0">
                    <a:pos x="connsiteX267" y="connsiteY267"/>
                  </a:cxn>
                  <a:cxn ang="0">
                    <a:pos x="connsiteX268" y="connsiteY268"/>
                  </a:cxn>
                  <a:cxn ang="0">
                    <a:pos x="connsiteX269" y="connsiteY269"/>
                  </a:cxn>
                  <a:cxn ang="0">
                    <a:pos x="connsiteX270" y="connsiteY270"/>
                  </a:cxn>
                  <a:cxn ang="0">
                    <a:pos x="connsiteX271" y="connsiteY271"/>
                  </a:cxn>
                  <a:cxn ang="0">
                    <a:pos x="connsiteX272" y="connsiteY272"/>
                  </a:cxn>
                  <a:cxn ang="0">
                    <a:pos x="connsiteX273" y="connsiteY273"/>
                  </a:cxn>
                  <a:cxn ang="0">
                    <a:pos x="connsiteX274" y="connsiteY274"/>
                  </a:cxn>
                  <a:cxn ang="0">
                    <a:pos x="connsiteX275" y="connsiteY275"/>
                  </a:cxn>
                  <a:cxn ang="0">
                    <a:pos x="connsiteX276" y="connsiteY276"/>
                  </a:cxn>
                  <a:cxn ang="0">
                    <a:pos x="connsiteX277" y="connsiteY277"/>
                  </a:cxn>
                  <a:cxn ang="0">
                    <a:pos x="connsiteX278" y="connsiteY278"/>
                  </a:cxn>
                  <a:cxn ang="0">
                    <a:pos x="connsiteX279" y="connsiteY279"/>
                  </a:cxn>
                  <a:cxn ang="0">
                    <a:pos x="connsiteX280" y="connsiteY280"/>
                  </a:cxn>
                  <a:cxn ang="0">
                    <a:pos x="connsiteX281" y="connsiteY281"/>
                  </a:cxn>
                  <a:cxn ang="0">
                    <a:pos x="connsiteX282" y="connsiteY282"/>
                  </a:cxn>
                  <a:cxn ang="0">
                    <a:pos x="connsiteX283" y="connsiteY283"/>
                  </a:cxn>
                  <a:cxn ang="0">
                    <a:pos x="connsiteX284" y="connsiteY284"/>
                  </a:cxn>
                  <a:cxn ang="0">
                    <a:pos x="connsiteX285" y="connsiteY285"/>
                  </a:cxn>
                  <a:cxn ang="0">
                    <a:pos x="connsiteX286" y="connsiteY286"/>
                  </a:cxn>
                  <a:cxn ang="0">
                    <a:pos x="connsiteX287" y="connsiteY287"/>
                  </a:cxn>
                  <a:cxn ang="0">
                    <a:pos x="connsiteX288" y="connsiteY288"/>
                  </a:cxn>
                  <a:cxn ang="0">
                    <a:pos x="connsiteX289" y="connsiteY289"/>
                  </a:cxn>
                  <a:cxn ang="0">
                    <a:pos x="connsiteX290" y="connsiteY290"/>
                  </a:cxn>
                  <a:cxn ang="0">
                    <a:pos x="connsiteX291" y="connsiteY291"/>
                  </a:cxn>
                  <a:cxn ang="0">
                    <a:pos x="connsiteX292" y="connsiteY292"/>
                  </a:cxn>
                  <a:cxn ang="0">
                    <a:pos x="connsiteX293" y="connsiteY293"/>
                  </a:cxn>
                  <a:cxn ang="0">
                    <a:pos x="connsiteX294" y="connsiteY294"/>
                  </a:cxn>
                  <a:cxn ang="0">
                    <a:pos x="connsiteX295" y="connsiteY295"/>
                  </a:cxn>
                  <a:cxn ang="0">
                    <a:pos x="connsiteX296" y="connsiteY296"/>
                  </a:cxn>
                  <a:cxn ang="0">
                    <a:pos x="connsiteX297" y="connsiteY297"/>
                  </a:cxn>
                  <a:cxn ang="0">
                    <a:pos x="connsiteX298" y="connsiteY298"/>
                  </a:cxn>
                  <a:cxn ang="0">
                    <a:pos x="connsiteX299" y="connsiteY299"/>
                  </a:cxn>
                  <a:cxn ang="0">
                    <a:pos x="connsiteX300" y="connsiteY300"/>
                  </a:cxn>
                  <a:cxn ang="0">
                    <a:pos x="connsiteX301" y="connsiteY301"/>
                  </a:cxn>
                  <a:cxn ang="0">
                    <a:pos x="connsiteX302" y="connsiteY302"/>
                  </a:cxn>
                  <a:cxn ang="0">
                    <a:pos x="connsiteX303" y="connsiteY303"/>
                  </a:cxn>
                  <a:cxn ang="0">
                    <a:pos x="connsiteX304" y="connsiteY304"/>
                  </a:cxn>
                  <a:cxn ang="0">
                    <a:pos x="connsiteX305" y="connsiteY305"/>
                  </a:cxn>
                  <a:cxn ang="0">
                    <a:pos x="connsiteX306" y="connsiteY306"/>
                  </a:cxn>
                  <a:cxn ang="0">
                    <a:pos x="connsiteX307" y="connsiteY307"/>
                  </a:cxn>
                  <a:cxn ang="0">
                    <a:pos x="connsiteX308" y="connsiteY308"/>
                  </a:cxn>
                  <a:cxn ang="0">
                    <a:pos x="connsiteX309" y="connsiteY309"/>
                  </a:cxn>
                  <a:cxn ang="0">
                    <a:pos x="connsiteX310" y="connsiteY310"/>
                  </a:cxn>
                  <a:cxn ang="0">
                    <a:pos x="connsiteX311" y="connsiteY311"/>
                  </a:cxn>
                  <a:cxn ang="0">
                    <a:pos x="connsiteX312" y="connsiteY312"/>
                  </a:cxn>
                  <a:cxn ang="0">
                    <a:pos x="connsiteX313" y="connsiteY313"/>
                  </a:cxn>
                  <a:cxn ang="0">
                    <a:pos x="connsiteX314" y="connsiteY314"/>
                  </a:cxn>
                  <a:cxn ang="0">
                    <a:pos x="connsiteX315" y="connsiteY315"/>
                  </a:cxn>
                  <a:cxn ang="0">
                    <a:pos x="connsiteX316" y="connsiteY316"/>
                  </a:cxn>
                  <a:cxn ang="0">
                    <a:pos x="connsiteX317" y="connsiteY317"/>
                  </a:cxn>
                  <a:cxn ang="0">
                    <a:pos x="connsiteX318" y="connsiteY318"/>
                  </a:cxn>
                  <a:cxn ang="0">
                    <a:pos x="connsiteX319" y="connsiteY319"/>
                  </a:cxn>
                  <a:cxn ang="0">
                    <a:pos x="connsiteX320" y="connsiteY320"/>
                  </a:cxn>
                  <a:cxn ang="0">
                    <a:pos x="connsiteX321" y="connsiteY321"/>
                  </a:cxn>
                  <a:cxn ang="0">
                    <a:pos x="connsiteX322" y="connsiteY322"/>
                  </a:cxn>
                  <a:cxn ang="0">
                    <a:pos x="connsiteX323" y="connsiteY323"/>
                  </a:cxn>
                  <a:cxn ang="0">
                    <a:pos x="connsiteX324" y="connsiteY324"/>
                  </a:cxn>
                  <a:cxn ang="0">
                    <a:pos x="connsiteX325" y="connsiteY325"/>
                  </a:cxn>
                  <a:cxn ang="0">
                    <a:pos x="connsiteX326" y="connsiteY326"/>
                  </a:cxn>
                  <a:cxn ang="0">
                    <a:pos x="connsiteX327" y="connsiteY327"/>
                  </a:cxn>
                  <a:cxn ang="0">
                    <a:pos x="connsiteX328" y="connsiteY328"/>
                  </a:cxn>
                  <a:cxn ang="0">
                    <a:pos x="connsiteX329" y="connsiteY329"/>
                  </a:cxn>
                  <a:cxn ang="0">
                    <a:pos x="connsiteX330" y="connsiteY330"/>
                  </a:cxn>
                  <a:cxn ang="0">
                    <a:pos x="connsiteX331" y="connsiteY331"/>
                  </a:cxn>
                  <a:cxn ang="0">
                    <a:pos x="connsiteX332" y="connsiteY332"/>
                  </a:cxn>
                  <a:cxn ang="0">
                    <a:pos x="connsiteX333" y="connsiteY333"/>
                  </a:cxn>
                  <a:cxn ang="0">
                    <a:pos x="connsiteX334" y="connsiteY334"/>
                  </a:cxn>
                  <a:cxn ang="0">
                    <a:pos x="connsiteX335" y="connsiteY335"/>
                  </a:cxn>
                  <a:cxn ang="0">
                    <a:pos x="connsiteX336" y="connsiteY336"/>
                  </a:cxn>
                  <a:cxn ang="0">
                    <a:pos x="connsiteX337" y="connsiteY337"/>
                  </a:cxn>
                  <a:cxn ang="0">
                    <a:pos x="connsiteX338" y="connsiteY338"/>
                  </a:cxn>
                  <a:cxn ang="0">
                    <a:pos x="connsiteX339" y="connsiteY339"/>
                  </a:cxn>
                  <a:cxn ang="0">
                    <a:pos x="connsiteX340" y="connsiteY340"/>
                  </a:cxn>
                  <a:cxn ang="0">
                    <a:pos x="connsiteX341" y="connsiteY341"/>
                  </a:cxn>
                  <a:cxn ang="0">
                    <a:pos x="connsiteX342" y="connsiteY342"/>
                  </a:cxn>
                  <a:cxn ang="0">
                    <a:pos x="connsiteX343" y="connsiteY343"/>
                  </a:cxn>
                  <a:cxn ang="0">
                    <a:pos x="connsiteX344" y="connsiteY344"/>
                  </a:cxn>
                  <a:cxn ang="0">
                    <a:pos x="connsiteX345" y="connsiteY345"/>
                  </a:cxn>
                  <a:cxn ang="0">
                    <a:pos x="connsiteX346" y="connsiteY346"/>
                  </a:cxn>
                  <a:cxn ang="0">
                    <a:pos x="connsiteX347" y="connsiteY347"/>
                  </a:cxn>
                  <a:cxn ang="0">
                    <a:pos x="connsiteX348" y="connsiteY348"/>
                  </a:cxn>
                  <a:cxn ang="0">
                    <a:pos x="connsiteX349" y="connsiteY349"/>
                  </a:cxn>
                  <a:cxn ang="0">
                    <a:pos x="connsiteX350" y="connsiteY350"/>
                  </a:cxn>
                  <a:cxn ang="0">
                    <a:pos x="connsiteX351" y="connsiteY351"/>
                  </a:cxn>
                  <a:cxn ang="0">
                    <a:pos x="connsiteX352" y="connsiteY352"/>
                  </a:cxn>
                  <a:cxn ang="0">
                    <a:pos x="connsiteX353" y="connsiteY353"/>
                  </a:cxn>
                  <a:cxn ang="0">
                    <a:pos x="connsiteX354" y="connsiteY354"/>
                  </a:cxn>
                  <a:cxn ang="0">
                    <a:pos x="connsiteX355" y="connsiteY355"/>
                  </a:cxn>
                  <a:cxn ang="0">
                    <a:pos x="connsiteX356" y="connsiteY356"/>
                  </a:cxn>
                  <a:cxn ang="0">
                    <a:pos x="connsiteX357" y="connsiteY357"/>
                  </a:cxn>
                  <a:cxn ang="0">
                    <a:pos x="connsiteX358" y="connsiteY358"/>
                  </a:cxn>
                  <a:cxn ang="0">
                    <a:pos x="connsiteX359" y="connsiteY359"/>
                  </a:cxn>
                  <a:cxn ang="0">
                    <a:pos x="connsiteX360" y="connsiteY360"/>
                  </a:cxn>
                  <a:cxn ang="0">
                    <a:pos x="connsiteX361" y="connsiteY361"/>
                  </a:cxn>
                  <a:cxn ang="0">
                    <a:pos x="connsiteX362" y="connsiteY362"/>
                  </a:cxn>
                  <a:cxn ang="0">
                    <a:pos x="connsiteX363" y="connsiteY363"/>
                  </a:cxn>
                  <a:cxn ang="0">
                    <a:pos x="connsiteX364" y="connsiteY364"/>
                  </a:cxn>
                  <a:cxn ang="0">
                    <a:pos x="connsiteX365" y="connsiteY365"/>
                  </a:cxn>
                  <a:cxn ang="0">
                    <a:pos x="connsiteX366" y="connsiteY366"/>
                  </a:cxn>
                  <a:cxn ang="0">
                    <a:pos x="connsiteX367" y="connsiteY367"/>
                  </a:cxn>
                  <a:cxn ang="0">
                    <a:pos x="connsiteX368" y="connsiteY368"/>
                  </a:cxn>
                  <a:cxn ang="0">
                    <a:pos x="connsiteX369" y="connsiteY369"/>
                  </a:cxn>
                  <a:cxn ang="0">
                    <a:pos x="connsiteX370" y="connsiteY370"/>
                  </a:cxn>
                  <a:cxn ang="0">
                    <a:pos x="connsiteX371" y="connsiteY371"/>
                  </a:cxn>
                  <a:cxn ang="0">
                    <a:pos x="connsiteX372" y="connsiteY372"/>
                  </a:cxn>
                  <a:cxn ang="0">
                    <a:pos x="connsiteX373" y="connsiteY373"/>
                  </a:cxn>
                  <a:cxn ang="0">
                    <a:pos x="connsiteX374" y="connsiteY374"/>
                  </a:cxn>
                  <a:cxn ang="0">
                    <a:pos x="connsiteX375" y="connsiteY375"/>
                  </a:cxn>
                  <a:cxn ang="0">
                    <a:pos x="connsiteX376" y="connsiteY376"/>
                  </a:cxn>
                  <a:cxn ang="0">
                    <a:pos x="connsiteX377" y="connsiteY377"/>
                  </a:cxn>
                  <a:cxn ang="0">
                    <a:pos x="connsiteX378" y="connsiteY378"/>
                  </a:cxn>
                  <a:cxn ang="0">
                    <a:pos x="connsiteX379" y="connsiteY379"/>
                  </a:cxn>
                  <a:cxn ang="0">
                    <a:pos x="connsiteX380" y="connsiteY380"/>
                  </a:cxn>
                  <a:cxn ang="0">
                    <a:pos x="connsiteX381" y="connsiteY381"/>
                  </a:cxn>
                  <a:cxn ang="0">
                    <a:pos x="connsiteX382" y="connsiteY382"/>
                  </a:cxn>
                  <a:cxn ang="0">
                    <a:pos x="connsiteX383" y="connsiteY383"/>
                  </a:cxn>
                  <a:cxn ang="0">
                    <a:pos x="connsiteX384" y="connsiteY384"/>
                  </a:cxn>
                  <a:cxn ang="0">
                    <a:pos x="connsiteX385" y="connsiteY385"/>
                  </a:cxn>
                  <a:cxn ang="0">
                    <a:pos x="connsiteX386" y="connsiteY386"/>
                  </a:cxn>
                  <a:cxn ang="0">
                    <a:pos x="connsiteX387" y="connsiteY387"/>
                  </a:cxn>
                  <a:cxn ang="0">
                    <a:pos x="connsiteX388" y="connsiteY388"/>
                  </a:cxn>
                  <a:cxn ang="0">
                    <a:pos x="connsiteX389" y="connsiteY389"/>
                  </a:cxn>
                  <a:cxn ang="0">
                    <a:pos x="connsiteX390" y="connsiteY390"/>
                  </a:cxn>
                  <a:cxn ang="0">
                    <a:pos x="connsiteX391" y="connsiteY391"/>
                  </a:cxn>
                  <a:cxn ang="0">
                    <a:pos x="connsiteX392" y="connsiteY392"/>
                  </a:cxn>
                  <a:cxn ang="0">
                    <a:pos x="connsiteX393" y="connsiteY393"/>
                  </a:cxn>
                  <a:cxn ang="0">
                    <a:pos x="connsiteX394" y="connsiteY394"/>
                  </a:cxn>
                  <a:cxn ang="0">
                    <a:pos x="connsiteX395" y="connsiteY395"/>
                  </a:cxn>
                  <a:cxn ang="0">
                    <a:pos x="connsiteX396" y="connsiteY396"/>
                  </a:cxn>
                  <a:cxn ang="0">
                    <a:pos x="connsiteX397" y="connsiteY397"/>
                  </a:cxn>
                  <a:cxn ang="0">
                    <a:pos x="connsiteX398" y="connsiteY398"/>
                  </a:cxn>
                  <a:cxn ang="0">
                    <a:pos x="connsiteX399" y="connsiteY399"/>
                  </a:cxn>
                  <a:cxn ang="0">
                    <a:pos x="connsiteX400" y="connsiteY400"/>
                  </a:cxn>
                  <a:cxn ang="0">
                    <a:pos x="connsiteX401" y="connsiteY401"/>
                  </a:cxn>
                  <a:cxn ang="0">
                    <a:pos x="connsiteX402" y="connsiteY402"/>
                  </a:cxn>
                  <a:cxn ang="0">
                    <a:pos x="connsiteX403" y="connsiteY403"/>
                  </a:cxn>
                  <a:cxn ang="0">
                    <a:pos x="connsiteX404" y="connsiteY404"/>
                  </a:cxn>
                  <a:cxn ang="0">
                    <a:pos x="connsiteX405" y="connsiteY405"/>
                  </a:cxn>
                  <a:cxn ang="0">
                    <a:pos x="connsiteX406" y="connsiteY406"/>
                  </a:cxn>
                  <a:cxn ang="0">
                    <a:pos x="connsiteX407" y="connsiteY407"/>
                  </a:cxn>
                  <a:cxn ang="0">
                    <a:pos x="connsiteX408" y="connsiteY408"/>
                  </a:cxn>
                  <a:cxn ang="0">
                    <a:pos x="connsiteX409" y="connsiteY409"/>
                  </a:cxn>
                  <a:cxn ang="0">
                    <a:pos x="connsiteX410" y="connsiteY410"/>
                  </a:cxn>
                  <a:cxn ang="0">
                    <a:pos x="connsiteX411" y="connsiteY411"/>
                  </a:cxn>
                  <a:cxn ang="0">
                    <a:pos x="connsiteX412" y="connsiteY412"/>
                  </a:cxn>
                  <a:cxn ang="0">
                    <a:pos x="connsiteX413" y="connsiteY413"/>
                  </a:cxn>
                  <a:cxn ang="0">
                    <a:pos x="connsiteX414" y="connsiteY414"/>
                  </a:cxn>
                  <a:cxn ang="0">
                    <a:pos x="connsiteX415" y="connsiteY415"/>
                  </a:cxn>
                  <a:cxn ang="0">
                    <a:pos x="connsiteX416" y="connsiteY416"/>
                  </a:cxn>
                  <a:cxn ang="0">
                    <a:pos x="connsiteX417" y="connsiteY417"/>
                  </a:cxn>
                  <a:cxn ang="0">
                    <a:pos x="connsiteX418" y="connsiteY418"/>
                  </a:cxn>
                  <a:cxn ang="0">
                    <a:pos x="connsiteX419" y="connsiteY419"/>
                  </a:cxn>
                  <a:cxn ang="0">
                    <a:pos x="connsiteX420" y="connsiteY420"/>
                  </a:cxn>
                  <a:cxn ang="0">
                    <a:pos x="connsiteX421" y="connsiteY421"/>
                  </a:cxn>
                  <a:cxn ang="0">
                    <a:pos x="connsiteX422" y="connsiteY422"/>
                  </a:cxn>
                  <a:cxn ang="0">
                    <a:pos x="connsiteX423" y="connsiteY423"/>
                  </a:cxn>
                  <a:cxn ang="0">
                    <a:pos x="connsiteX424" y="connsiteY424"/>
                  </a:cxn>
                  <a:cxn ang="0">
                    <a:pos x="connsiteX425" y="connsiteY425"/>
                  </a:cxn>
                  <a:cxn ang="0">
                    <a:pos x="connsiteX426" y="connsiteY426"/>
                  </a:cxn>
                  <a:cxn ang="0">
                    <a:pos x="connsiteX427" y="connsiteY427"/>
                  </a:cxn>
                  <a:cxn ang="0">
                    <a:pos x="connsiteX428" y="connsiteY428"/>
                  </a:cxn>
                  <a:cxn ang="0">
                    <a:pos x="connsiteX429" y="connsiteY429"/>
                  </a:cxn>
                  <a:cxn ang="0">
                    <a:pos x="connsiteX430" y="connsiteY430"/>
                  </a:cxn>
                  <a:cxn ang="0">
                    <a:pos x="connsiteX431" y="connsiteY431"/>
                  </a:cxn>
                  <a:cxn ang="0">
                    <a:pos x="connsiteX432" y="connsiteY432"/>
                  </a:cxn>
                  <a:cxn ang="0">
                    <a:pos x="connsiteX433" y="connsiteY433"/>
                  </a:cxn>
                  <a:cxn ang="0">
                    <a:pos x="connsiteX434" y="connsiteY434"/>
                  </a:cxn>
                  <a:cxn ang="0">
                    <a:pos x="connsiteX435" y="connsiteY435"/>
                  </a:cxn>
                  <a:cxn ang="0">
                    <a:pos x="connsiteX436" y="connsiteY436"/>
                  </a:cxn>
                  <a:cxn ang="0">
                    <a:pos x="connsiteX437" y="connsiteY437"/>
                  </a:cxn>
                  <a:cxn ang="0">
                    <a:pos x="connsiteX438" y="connsiteY438"/>
                  </a:cxn>
                  <a:cxn ang="0">
                    <a:pos x="connsiteX439" y="connsiteY439"/>
                  </a:cxn>
                  <a:cxn ang="0">
                    <a:pos x="connsiteX440" y="connsiteY440"/>
                  </a:cxn>
                  <a:cxn ang="0">
                    <a:pos x="connsiteX441" y="connsiteY441"/>
                  </a:cxn>
                  <a:cxn ang="0">
                    <a:pos x="connsiteX442" y="connsiteY442"/>
                  </a:cxn>
                  <a:cxn ang="0">
                    <a:pos x="connsiteX443" y="connsiteY443"/>
                  </a:cxn>
                  <a:cxn ang="0">
                    <a:pos x="connsiteX444" y="connsiteY444"/>
                  </a:cxn>
                  <a:cxn ang="0">
                    <a:pos x="connsiteX445" y="connsiteY445"/>
                  </a:cxn>
                  <a:cxn ang="0">
                    <a:pos x="connsiteX446" y="connsiteY446"/>
                  </a:cxn>
                  <a:cxn ang="0">
                    <a:pos x="connsiteX447" y="connsiteY447"/>
                  </a:cxn>
                  <a:cxn ang="0">
                    <a:pos x="connsiteX448" y="connsiteY448"/>
                  </a:cxn>
                  <a:cxn ang="0">
                    <a:pos x="connsiteX449" y="connsiteY449"/>
                  </a:cxn>
                  <a:cxn ang="0">
                    <a:pos x="connsiteX450" y="connsiteY450"/>
                  </a:cxn>
                  <a:cxn ang="0">
                    <a:pos x="connsiteX451" y="connsiteY451"/>
                  </a:cxn>
                  <a:cxn ang="0">
                    <a:pos x="connsiteX452" y="connsiteY452"/>
                  </a:cxn>
                  <a:cxn ang="0">
                    <a:pos x="connsiteX453" y="connsiteY453"/>
                  </a:cxn>
                  <a:cxn ang="0">
                    <a:pos x="connsiteX454" y="connsiteY454"/>
                  </a:cxn>
                  <a:cxn ang="0">
                    <a:pos x="connsiteX455" y="connsiteY455"/>
                  </a:cxn>
                  <a:cxn ang="0">
                    <a:pos x="connsiteX456" y="connsiteY456"/>
                  </a:cxn>
                  <a:cxn ang="0">
                    <a:pos x="connsiteX457" y="connsiteY457"/>
                  </a:cxn>
                  <a:cxn ang="0">
                    <a:pos x="connsiteX458" y="connsiteY458"/>
                  </a:cxn>
                  <a:cxn ang="0">
                    <a:pos x="connsiteX459" y="connsiteY459"/>
                  </a:cxn>
                  <a:cxn ang="0">
                    <a:pos x="connsiteX460" y="connsiteY460"/>
                  </a:cxn>
                  <a:cxn ang="0">
                    <a:pos x="connsiteX461" y="connsiteY461"/>
                  </a:cxn>
                  <a:cxn ang="0">
                    <a:pos x="connsiteX462" y="connsiteY462"/>
                  </a:cxn>
                  <a:cxn ang="0">
                    <a:pos x="connsiteX463" y="connsiteY463"/>
                  </a:cxn>
                  <a:cxn ang="0">
                    <a:pos x="connsiteX464" y="connsiteY464"/>
                  </a:cxn>
                  <a:cxn ang="0">
                    <a:pos x="connsiteX465" y="connsiteY465"/>
                  </a:cxn>
                  <a:cxn ang="0">
                    <a:pos x="connsiteX466" y="connsiteY466"/>
                  </a:cxn>
                  <a:cxn ang="0">
                    <a:pos x="connsiteX467" y="connsiteY467"/>
                  </a:cxn>
                  <a:cxn ang="0">
                    <a:pos x="connsiteX468" y="connsiteY468"/>
                  </a:cxn>
                  <a:cxn ang="0">
                    <a:pos x="connsiteX469" y="connsiteY469"/>
                  </a:cxn>
                  <a:cxn ang="0">
                    <a:pos x="connsiteX470" y="connsiteY470"/>
                  </a:cxn>
                  <a:cxn ang="0">
                    <a:pos x="connsiteX471" y="connsiteY471"/>
                  </a:cxn>
                  <a:cxn ang="0">
                    <a:pos x="connsiteX472" y="connsiteY472"/>
                  </a:cxn>
                  <a:cxn ang="0">
                    <a:pos x="connsiteX473" y="connsiteY473"/>
                  </a:cxn>
                  <a:cxn ang="0">
                    <a:pos x="connsiteX474" y="connsiteY474"/>
                  </a:cxn>
                  <a:cxn ang="0">
                    <a:pos x="connsiteX475" y="connsiteY475"/>
                  </a:cxn>
                  <a:cxn ang="0">
                    <a:pos x="connsiteX476" y="connsiteY476"/>
                  </a:cxn>
                  <a:cxn ang="0">
                    <a:pos x="connsiteX477" y="connsiteY477"/>
                  </a:cxn>
                  <a:cxn ang="0">
                    <a:pos x="connsiteX478" y="connsiteY478"/>
                  </a:cxn>
                  <a:cxn ang="0">
                    <a:pos x="connsiteX479" y="connsiteY479"/>
                  </a:cxn>
                  <a:cxn ang="0">
                    <a:pos x="connsiteX480" y="connsiteY480"/>
                  </a:cxn>
                  <a:cxn ang="0">
                    <a:pos x="connsiteX481" y="connsiteY481"/>
                  </a:cxn>
                  <a:cxn ang="0">
                    <a:pos x="connsiteX482" y="connsiteY482"/>
                  </a:cxn>
                  <a:cxn ang="0">
                    <a:pos x="connsiteX483" y="connsiteY483"/>
                  </a:cxn>
                  <a:cxn ang="0">
                    <a:pos x="connsiteX484" y="connsiteY484"/>
                  </a:cxn>
                  <a:cxn ang="0">
                    <a:pos x="connsiteX485" y="connsiteY485"/>
                  </a:cxn>
                  <a:cxn ang="0">
                    <a:pos x="connsiteX486" y="connsiteY486"/>
                  </a:cxn>
                  <a:cxn ang="0">
                    <a:pos x="connsiteX487" y="connsiteY487"/>
                  </a:cxn>
                  <a:cxn ang="0">
                    <a:pos x="connsiteX488" y="connsiteY488"/>
                  </a:cxn>
                  <a:cxn ang="0">
                    <a:pos x="connsiteX489" y="connsiteY489"/>
                  </a:cxn>
                  <a:cxn ang="0">
                    <a:pos x="connsiteX490" y="connsiteY490"/>
                  </a:cxn>
                  <a:cxn ang="0">
                    <a:pos x="connsiteX491" y="connsiteY491"/>
                  </a:cxn>
                  <a:cxn ang="0">
                    <a:pos x="connsiteX492" y="connsiteY492"/>
                  </a:cxn>
                  <a:cxn ang="0">
                    <a:pos x="connsiteX493" y="connsiteY493"/>
                  </a:cxn>
                  <a:cxn ang="0">
                    <a:pos x="connsiteX494" y="connsiteY494"/>
                  </a:cxn>
                  <a:cxn ang="0">
                    <a:pos x="connsiteX495" y="connsiteY495"/>
                  </a:cxn>
                  <a:cxn ang="0">
                    <a:pos x="connsiteX496" y="connsiteY496"/>
                  </a:cxn>
                  <a:cxn ang="0">
                    <a:pos x="connsiteX497" y="connsiteY497"/>
                  </a:cxn>
                  <a:cxn ang="0">
                    <a:pos x="connsiteX498" y="connsiteY498"/>
                  </a:cxn>
                  <a:cxn ang="0">
                    <a:pos x="connsiteX499" y="connsiteY499"/>
                  </a:cxn>
                  <a:cxn ang="0">
                    <a:pos x="connsiteX500" y="connsiteY500"/>
                  </a:cxn>
                  <a:cxn ang="0">
                    <a:pos x="connsiteX501" y="connsiteY501"/>
                  </a:cxn>
                  <a:cxn ang="0">
                    <a:pos x="connsiteX502" y="connsiteY502"/>
                  </a:cxn>
                  <a:cxn ang="0">
                    <a:pos x="connsiteX503" y="connsiteY503"/>
                  </a:cxn>
                  <a:cxn ang="0">
                    <a:pos x="connsiteX504" y="connsiteY504"/>
                  </a:cxn>
                  <a:cxn ang="0">
                    <a:pos x="connsiteX505" y="connsiteY505"/>
                  </a:cxn>
                  <a:cxn ang="0">
                    <a:pos x="connsiteX506" y="connsiteY506"/>
                  </a:cxn>
                  <a:cxn ang="0">
                    <a:pos x="connsiteX507" y="connsiteY507"/>
                  </a:cxn>
                  <a:cxn ang="0">
                    <a:pos x="connsiteX508" y="connsiteY508"/>
                  </a:cxn>
                  <a:cxn ang="0">
                    <a:pos x="connsiteX509" y="connsiteY509"/>
                  </a:cxn>
                  <a:cxn ang="0">
                    <a:pos x="connsiteX510" y="connsiteY510"/>
                  </a:cxn>
                  <a:cxn ang="0">
                    <a:pos x="connsiteX511" y="connsiteY511"/>
                  </a:cxn>
                  <a:cxn ang="0">
                    <a:pos x="connsiteX512" y="connsiteY512"/>
                  </a:cxn>
                  <a:cxn ang="0">
                    <a:pos x="connsiteX513" y="connsiteY513"/>
                  </a:cxn>
                  <a:cxn ang="0">
                    <a:pos x="connsiteX514" y="connsiteY514"/>
                  </a:cxn>
                  <a:cxn ang="0">
                    <a:pos x="connsiteX515" y="connsiteY515"/>
                  </a:cxn>
                  <a:cxn ang="0">
                    <a:pos x="connsiteX516" y="connsiteY516"/>
                  </a:cxn>
                  <a:cxn ang="0">
                    <a:pos x="connsiteX517" y="connsiteY517"/>
                  </a:cxn>
                  <a:cxn ang="0">
                    <a:pos x="connsiteX518" y="connsiteY518"/>
                  </a:cxn>
                  <a:cxn ang="0">
                    <a:pos x="connsiteX519" y="connsiteY519"/>
                  </a:cxn>
                  <a:cxn ang="0">
                    <a:pos x="connsiteX520" y="connsiteY520"/>
                  </a:cxn>
                  <a:cxn ang="0">
                    <a:pos x="connsiteX521" y="connsiteY521"/>
                  </a:cxn>
                  <a:cxn ang="0">
                    <a:pos x="connsiteX522" y="connsiteY522"/>
                  </a:cxn>
                  <a:cxn ang="0">
                    <a:pos x="connsiteX523" y="connsiteY523"/>
                  </a:cxn>
                  <a:cxn ang="0">
                    <a:pos x="connsiteX524" y="connsiteY524"/>
                  </a:cxn>
                  <a:cxn ang="0">
                    <a:pos x="connsiteX525" y="connsiteY525"/>
                  </a:cxn>
                  <a:cxn ang="0">
                    <a:pos x="connsiteX526" y="connsiteY526"/>
                  </a:cxn>
                  <a:cxn ang="0">
                    <a:pos x="connsiteX527" y="connsiteY527"/>
                  </a:cxn>
                  <a:cxn ang="0">
                    <a:pos x="connsiteX528" y="connsiteY528"/>
                  </a:cxn>
                  <a:cxn ang="0">
                    <a:pos x="connsiteX529" y="connsiteY529"/>
                  </a:cxn>
                  <a:cxn ang="0">
                    <a:pos x="connsiteX530" y="connsiteY530"/>
                  </a:cxn>
                  <a:cxn ang="0">
                    <a:pos x="connsiteX531" y="connsiteY531"/>
                  </a:cxn>
                  <a:cxn ang="0">
                    <a:pos x="connsiteX532" y="connsiteY532"/>
                  </a:cxn>
                  <a:cxn ang="0">
                    <a:pos x="connsiteX533" y="connsiteY533"/>
                  </a:cxn>
                  <a:cxn ang="0">
                    <a:pos x="connsiteX534" y="connsiteY534"/>
                  </a:cxn>
                  <a:cxn ang="0">
                    <a:pos x="connsiteX535" y="connsiteY535"/>
                  </a:cxn>
                  <a:cxn ang="0">
                    <a:pos x="connsiteX536" y="connsiteY536"/>
                  </a:cxn>
                  <a:cxn ang="0">
                    <a:pos x="connsiteX537" y="connsiteY537"/>
                  </a:cxn>
                  <a:cxn ang="0">
                    <a:pos x="connsiteX538" y="connsiteY538"/>
                  </a:cxn>
                  <a:cxn ang="0">
                    <a:pos x="connsiteX539" y="connsiteY539"/>
                  </a:cxn>
                  <a:cxn ang="0">
                    <a:pos x="connsiteX540" y="connsiteY540"/>
                  </a:cxn>
                  <a:cxn ang="0">
                    <a:pos x="connsiteX541" y="connsiteY541"/>
                  </a:cxn>
                  <a:cxn ang="0">
                    <a:pos x="connsiteX542" y="connsiteY542"/>
                  </a:cxn>
                  <a:cxn ang="0">
                    <a:pos x="connsiteX543" y="connsiteY543"/>
                  </a:cxn>
                  <a:cxn ang="0">
                    <a:pos x="connsiteX544" y="connsiteY544"/>
                  </a:cxn>
                  <a:cxn ang="0">
                    <a:pos x="connsiteX545" y="connsiteY545"/>
                  </a:cxn>
                  <a:cxn ang="0">
                    <a:pos x="connsiteX546" y="connsiteY546"/>
                  </a:cxn>
                  <a:cxn ang="0">
                    <a:pos x="connsiteX547" y="connsiteY547"/>
                  </a:cxn>
                  <a:cxn ang="0">
                    <a:pos x="connsiteX548" y="connsiteY548"/>
                  </a:cxn>
                  <a:cxn ang="0">
                    <a:pos x="connsiteX549" y="connsiteY549"/>
                  </a:cxn>
                  <a:cxn ang="0">
                    <a:pos x="connsiteX550" y="connsiteY550"/>
                  </a:cxn>
                  <a:cxn ang="0">
                    <a:pos x="connsiteX551" y="connsiteY551"/>
                  </a:cxn>
                  <a:cxn ang="0">
                    <a:pos x="connsiteX552" y="connsiteY552"/>
                  </a:cxn>
                  <a:cxn ang="0">
                    <a:pos x="connsiteX553" y="connsiteY553"/>
                  </a:cxn>
                  <a:cxn ang="0">
                    <a:pos x="connsiteX554" y="connsiteY554"/>
                  </a:cxn>
                  <a:cxn ang="0">
                    <a:pos x="connsiteX555" y="connsiteY555"/>
                  </a:cxn>
                  <a:cxn ang="0">
                    <a:pos x="connsiteX556" y="connsiteY556"/>
                  </a:cxn>
                  <a:cxn ang="0">
                    <a:pos x="connsiteX557" y="connsiteY557"/>
                  </a:cxn>
                  <a:cxn ang="0">
                    <a:pos x="connsiteX558" y="connsiteY558"/>
                  </a:cxn>
                  <a:cxn ang="0">
                    <a:pos x="connsiteX559" y="connsiteY559"/>
                  </a:cxn>
                  <a:cxn ang="0">
                    <a:pos x="connsiteX560" y="connsiteY560"/>
                  </a:cxn>
                  <a:cxn ang="0">
                    <a:pos x="connsiteX561" y="connsiteY561"/>
                  </a:cxn>
                  <a:cxn ang="0">
                    <a:pos x="connsiteX562" y="connsiteY562"/>
                  </a:cxn>
                  <a:cxn ang="0">
                    <a:pos x="connsiteX563" y="connsiteY563"/>
                  </a:cxn>
                  <a:cxn ang="0">
                    <a:pos x="connsiteX564" y="connsiteY564"/>
                  </a:cxn>
                  <a:cxn ang="0">
                    <a:pos x="connsiteX565" y="connsiteY565"/>
                  </a:cxn>
                  <a:cxn ang="0">
                    <a:pos x="connsiteX566" y="connsiteY566"/>
                  </a:cxn>
                  <a:cxn ang="0">
                    <a:pos x="connsiteX567" y="connsiteY567"/>
                  </a:cxn>
                  <a:cxn ang="0">
                    <a:pos x="connsiteX568" y="connsiteY568"/>
                  </a:cxn>
                  <a:cxn ang="0">
                    <a:pos x="connsiteX569" y="connsiteY569"/>
                  </a:cxn>
                  <a:cxn ang="0">
                    <a:pos x="connsiteX570" y="connsiteY570"/>
                  </a:cxn>
                  <a:cxn ang="0">
                    <a:pos x="connsiteX571" y="connsiteY571"/>
                  </a:cxn>
                  <a:cxn ang="0">
                    <a:pos x="connsiteX572" y="connsiteY572"/>
                  </a:cxn>
                  <a:cxn ang="0">
                    <a:pos x="connsiteX573" y="connsiteY573"/>
                  </a:cxn>
                  <a:cxn ang="0">
                    <a:pos x="connsiteX574" y="connsiteY574"/>
                  </a:cxn>
                  <a:cxn ang="0">
                    <a:pos x="connsiteX575" y="connsiteY575"/>
                  </a:cxn>
                  <a:cxn ang="0">
                    <a:pos x="connsiteX576" y="connsiteY576"/>
                  </a:cxn>
                  <a:cxn ang="0">
                    <a:pos x="connsiteX577" y="connsiteY577"/>
                  </a:cxn>
                  <a:cxn ang="0">
                    <a:pos x="connsiteX578" y="connsiteY578"/>
                  </a:cxn>
                  <a:cxn ang="0">
                    <a:pos x="connsiteX579" y="connsiteY579"/>
                  </a:cxn>
                  <a:cxn ang="0">
                    <a:pos x="connsiteX580" y="connsiteY580"/>
                  </a:cxn>
                  <a:cxn ang="0">
                    <a:pos x="connsiteX581" y="connsiteY581"/>
                  </a:cxn>
                  <a:cxn ang="0">
                    <a:pos x="connsiteX582" y="connsiteY582"/>
                  </a:cxn>
                  <a:cxn ang="0">
                    <a:pos x="connsiteX583" y="connsiteY583"/>
                  </a:cxn>
                  <a:cxn ang="0">
                    <a:pos x="connsiteX584" y="connsiteY584"/>
                  </a:cxn>
                  <a:cxn ang="0">
                    <a:pos x="connsiteX585" y="connsiteY585"/>
                  </a:cxn>
                  <a:cxn ang="0">
                    <a:pos x="connsiteX586" y="connsiteY586"/>
                  </a:cxn>
                  <a:cxn ang="0">
                    <a:pos x="connsiteX587" y="connsiteY587"/>
                  </a:cxn>
                  <a:cxn ang="0">
                    <a:pos x="connsiteX588" y="connsiteY588"/>
                  </a:cxn>
                  <a:cxn ang="0">
                    <a:pos x="connsiteX589" y="connsiteY589"/>
                  </a:cxn>
                  <a:cxn ang="0">
                    <a:pos x="connsiteX590" y="connsiteY590"/>
                  </a:cxn>
                  <a:cxn ang="0">
                    <a:pos x="connsiteX591" y="connsiteY591"/>
                  </a:cxn>
                  <a:cxn ang="0">
                    <a:pos x="connsiteX592" y="connsiteY592"/>
                  </a:cxn>
                  <a:cxn ang="0">
                    <a:pos x="connsiteX593" y="connsiteY593"/>
                  </a:cxn>
                  <a:cxn ang="0">
                    <a:pos x="connsiteX594" y="connsiteY594"/>
                  </a:cxn>
                  <a:cxn ang="0">
                    <a:pos x="connsiteX595" y="connsiteY595"/>
                  </a:cxn>
                  <a:cxn ang="0">
                    <a:pos x="connsiteX596" y="connsiteY596"/>
                  </a:cxn>
                  <a:cxn ang="0">
                    <a:pos x="connsiteX597" y="connsiteY597"/>
                  </a:cxn>
                  <a:cxn ang="0">
                    <a:pos x="connsiteX598" y="connsiteY598"/>
                  </a:cxn>
                  <a:cxn ang="0">
                    <a:pos x="connsiteX599" y="connsiteY599"/>
                  </a:cxn>
                  <a:cxn ang="0">
                    <a:pos x="connsiteX600" y="connsiteY600"/>
                  </a:cxn>
                  <a:cxn ang="0">
                    <a:pos x="connsiteX601" y="connsiteY601"/>
                  </a:cxn>
                  <a:cxn ang="0">
                    <a:pos x="connsiteX602" y="connsiteY602"/>
                  </a:cxn>
                  <a:cxn ang="0">
                    <a:pos x="connsiteX603" y="connsiteY603"/>
                  </a:cxn>
                  <a:cxn ang="0">
                    <a:pos x="connsiteX604" y="connsiteY604"/>
                  </a:cxn>
                  <a:cxn ang="0">
                    <a:pos x="connsiteX605" y="connsiteY605"/>
                  </a:cxn>
                  <a:cxn ang="0">
                    <a:pos x="connsiteX606" y="connsiteY606"/>
                  </a:cxn>
                  <a:cxn ang="0">
                    <a:pos x="connsiteX607" y="connsiteY607"/>
                  </a:cxn>
                  <a:cxn ang="0">
                    <a:pos x="connsiteX608" y="connsiteY608"/>
                  </a:cxn>
                  <a:cxn ang="0">
                    <a:pos x="connsiteX609" y="connsiteY609"/>
                  </a:cxn>
                  <a:cxn ang="0">
                    <a:pos x="connsiteX610" y="connsiteY610"/>
                  </a:cxn>
                  <a:cxn ang="0">
                    <a:pos x="connsiteX611" y="connsiteY611"/>
                  </a:cxn>
                  <a:cxn ang="0">
                    <a:pos x="connsiteX612" y="connsiteY612"/>
                  </a:cxn>
                  <a:cxn ang="0">
                    <a:pos x="connsiteX613" y="connsiteY613"/>
                  </a:cxn>
                  <a:cxn ang="0">
                    <a:pos x="connsiteX614" y="connsiteY614"/>
                  </a:cxn>
                  <a:cxn ang="0">
                    <a:pos x="connsiteX615" y="connsiteY615"/>
                  </a:cxn>
                  <a:cxn ang="0">
                    <a:pos x="connsiteX616" y="connsiteY616"/>
                  </a:cxn>
                  <a:cxn ang="0">
                    <a:pos x="connsiteX617" y="connsiteY617"/>
                  </a:cxn>
                  <a:cxn ang="0">
                    <a:pos x="connsiteX618" y="connsiteY618"/>
                  </a:cxn>
                  <a:cxn ang="0">
                    <a:pos x="connsiteX619" y="connsiteY619"/>
                  </a:cxn>
                  <a:cxn ang="0">
                    <a:pos x="connsiteX620" y="connsiteY620"/>
                  </a:cxn>
                  <a:cxn ang="0">
                    <a:pos x="connsiteX621" y="connsiteY621"/>
                  </a:cxn>
                  <a:cxn ang="0">
                    <a:pos x="connsiteX622" y="connsiteY622"/>
                  </a:cxn>
                  <a:cxn ang="0">
                    <a:pos x="connsiteX623" y="connsiteY623"/>
                  </a:cxn>
                  <a:cxn ang="0">
                    <a:pos x="connsiteX624" y="connsiteY624"/>
                  </a:cxn>
                  <a:cxn ang="0">
                    <a:pos x="connsiteX625" y="connsiteY625"/>
                  </a:cxn>
                  <a:cxn ang="0">
                    <a:pos x="connsiteX626" y="connsiteY626"/>
                  </a:cxn>
                  <a:cxn ang="0">
                    <a:pos x="connsiteX627" y="connsiteY627"/>
                  </a:cxn>
                  <a:cxn ang="0">
                    <a:pos x="connsiteX628" y="connsiteY628"/>
                  </a:cxn>
                  <a:cxn ang="0">
                    <a:pos x="connsiteX629" y="connsiteY629"/>
                  </a:cxn>
                  <a:cxn ang="0">
                    <a:pos x="connsiteX630" y="connsiteY630"/>
                  </a:cxn>
                  <a:cxn ang="0">
                    <a:pos x="connsiteX631" y="connsiteY631"/>
                  </a:cxn>
                  <a:cxn ang="0">
                    <a:pos x="connsiteX632" y="connsiteY632"/>
                  </a:cxn>
                  <a:cxn ang="0">
                    <a:pos x="connsiteX633" y="connsiteY633"/>
                  </a:cxn>
                  <a:cxn ang="0">
                    <a:pos x="connsiteX634" y="connsiteY634"/>
                  </a:cxn>
                  <a:cxn ang="0">
                    <a:pos x="connsiteX635" y="connsiteY635"/>
                  </a:cxn>
                  <a:cxn ang="0">
                    <a:pos x="connsiteX636" y="connsiteY636"/>
                  </a:cxn>
                  <a:cxn ang="0">
                    <a:pos x="connsiteX637" y="connsiteY637"/>
                  </a:cxn>
                  <a:cxn ang="0">
                    <a:pos x="connsiteX638" y="connsiteY638"/>
                  </a:cxn>
                  <a:cxn ang="0">
                    <a:pos x="connsiteX639" y="connsiteY639"/>
                  </a:cxn>
                  <a:cxn ang="0">
                    <a:pos x="connsiteX640" y="connsiteY640"/>
                  </a:cxn>
                  <a:cxn ang="0">
                    <a:pos x="connsiteX641" y="connsiteY641"/>
                  </a:cxn>
                  <a:cxn ang="0">
                    <a:pos x="connsiteX642" y="connsiteY642"/>
                  </a:cxn>
                  <a:cxn ang="0">
                    <a:pos x="connsiteX643" y="connsiteY643"/>
                  </a:cxn>
                  <a:cxn ang="0">
                    <a:pos x="connsiteX644" y="connsiteY644"/>
                  </a:cxn>
                  <a:cxn ang="0">
                    <a:pos x="connsiteX645" y="connsiteY645"/>
                  </a:cxn>
                  <a:cxn ang="0">
                    <a:pos x="connsiteX646" y="connsiteY646"/>
                  </a:cxn>
                  <a:cxn ang="0">
                    <a:pos x="connsiteX647" y="connsiteY647"/>
                  </a:cxn>
                  <a:cxn ang="0">
                    <a:pos x="connsiteX648" y="connsiteY648"/>
                  </a:cxn>
                  <a:cxn ang="0">
                    <a:pos x="connsiteX649" y="connsiteY649"/>
                  </a:cxn>
                  <a:cxn ang="0">
                    <a:pos x="connsiteX650" y="connsiteY650"/>
                  </a:cxn>
                  <a:cxn ang="0">
                    <a:pos x="connsiteX651" y="connsiteY651"/>
                  </a:cxn>
                  <a:cxn ang="0">
                    <a:pos x="connsiteX652" y="connsiteY652"/>
                  </a:cxn>
                  <a:cxn ang="0">
                    <a:pos x="connsiteX653" y="connsiteY653"/>
                  </a:cxn>
                  <a:cxn ang="0">
                    <a:pos x="connsiteX654" y="connsiteY654"/>
                  </a:cxn>
                  <a:cxn ang="0">
                    <a:pos x="connsiteX655" y="connsiteY655"/>
                  </a:cxn>
                  <a:cxn ang="0">
                    <a:pos x="connsiteX656" y="connsiteY656"/>
                  </a:cxn>
                  <a:cxn ang="0">
                    <a:pos x="connsiteX657" y="connsiteY657"/>
                  </a:cxn>
                  <a:cxn ang="0">
                    <a:pos x="connsiteX658" y="connsiteY658"/>
                  </a:cxn>
                  <a:cxn ang="0">
                    <a:pos x="connsiteX659" y="connsiteY659"/>
                  </a:cxn>
                  <a:cxn ang="0">
                    <a:pos x="connsiteX660" y="connsiteY660"/>
                  </a:cxn>
                  <a:cxn ang="0">
                    <a:pos x="connsiteX661" y="connsiteY661"/>
                  </a:cxn>
                  <a:cxn ang="0">
                    <a:pos x="connsiteX662" y="connsiteY662"/>
                  </a:cxn>
                  <a:cxn ang="0">
                    <a:pos x="connsiteX663" y="connsiteY663"/>
                  </a:cxn>
                  <a:cxn ang="0">
                    <a:pos x="connsiteX664" y="connsiteY664"/>
                  </a:cxn>
                  <a:cxn ang="0">
                    <a:pos x="connsiteX665" y="connsiteY665"/>
                  </a:cxn>
                  <a:cxn ang="0">
                    <a:pos x="connsiteX666" y="connsiteY666"/>
                  </a:cxn>
                  <a:cxn ang="0">
                    <a:pos x="connsiteX667" y="connsiteY667"/>
                  </a:cxn>
                  <a:cxn ang="0">
                    <a:pos x="connsiteX668" y="connsiteY668"/>
                  </a:cxn>
                  <a:cxn ang="0">
                    <a:pos x="connsiteX669" y="connsiteY669"/>
                  </a:cxn>
                  <a:cxn ang="0">
                    <a:pos x="connsiteX670" y="connsiteY670"/>
                  </a:cxn>
                  <a:cxn ang="0">
                    <a:pos x="connsiteX671" y="connsiteY671"/>
                  </a:cxn>
                  <a:cxn ang="0">
                    <a:pos x="connsiteX672" y="connsiteY672"/>
                  </a:cxn>
                  <a:cxn ang="0">
                    <a:pos x="connsiteX673" y="connsiteY673"/>
                  </a:cxn>
                  <a:cxn ang="0">
                    <a:pos x="connsiteX674" y="connsiteY674"/>
                  </a:cxn>
                  <a:cxn ang="0">
                    <a:pos x="connsiteX675" y="connsiteY675"/>
                  </a:cxn>
                  <a:cxn ang="0">
                    <a:pos x="connsiteX676" y="connsiteY676"/>
                  </a:cxn>
                  <a:cxn ang="0">
                    <a:pos x="connsiteX677" y="connsiteY677"/>
                  </a:cxn>
                  <a:cxn ang="0">
                    <a:pos x="connsiteX678" y="connsiteY678"/>
                  </a:cxn>
                  <a:cxn ang="0">
                    <a:pos x="connsiteX679" y="connsiteY679"/>
                  </a:cxn>
                  <a:cxn ang="0">
                    <a:pos x="connsiteX680" y="connsiteY680"/>
                  </a:cxn>
                  <a:cxn ang="0">
                    <a:pos x="connsiteX681" y="connsiteY681"/>
                  </a:cxn>
                  <a:cxn ang="0">
                    <a:pos x="connsiteX682" y="connsiteY682"/>
                  </a:cxn>
                  <a:cxn ang="0">
                    <a:pos x="connsiteX683" y="connsiteY683"/>
                  </a:cxn>
                  <a:cxn ang="0">
                    <a:pos x="connsiteX684" y="connsiteY684"/>
                  </a:cxn>
                  <a:cxn ang="0">
                    <a:pos x="connsiteX685" y="connsiteY685"/>
                  </a:cxn>
                  <a:cxn ang="0">
                    <a:pos x="connsiteX686" y="connsiteY686"/>
                  </a:cxn>
                  <a:cxn ang="0">
                    <a:pos x="connsiteX687" y="connsiteY687"/>
                  </a:cxn>
                  <a:cxn ang="0">
                    <a:pos x="connsiteX688" y="connsiteY688"/>
                  </a:cxn>
                  <a:cxn ang="0">
                    <a:pos x="connsiteX689" y="connsiteY689"/>
                  </a:cxn>
                  <a:cxn ang="0">
                    <a:pos x="connsiteX690" y="connsiteY690"/>
                  </a:cxn>
                  <a:cxn ang="0">
                    <a:pos x="connsiteX691" y="connsiteY691"/>
                  </a:cxn>
                  <a:cxn ang="0">
                    <a:pos x="connsiteX692" y="connsiteY692"/>
                  </a:cxn>
                  <a:cxn ang="0">
                    <a:pos x="connsiteX693" y="connsiteY693"/>
                  </a:cxn>
                  <a:cxn ang="0">
                    <a:pos x="connsiteX694" y="connsiteY694"/>
                  </a:cxn>
                  <a:cxn ang="0">
                    <a:pos x="connsiteX695" y="connsiteY695"/>
                  </a:cxn>
                  <a:cxn ang="0">
                    <a:pos x="connsiteX696" y="connsiteY696"/>
                  </a:cxn>
                  <a:cxn ang="0">
                    <a:pos x="connsiteX697" y="connsiteY697"/>
                  </a:cxn>
                  <a:cxn ang="0">
                    <a:pos x="connsiteX698" y="connsiteY698"/>
                  </a:cxn>
                  <a:cxn ang="0">
                    <a:pos x="connsiteX699" y="connsiteY699"/>
                  </a:cxn>
                  <a:cxn ang="0">
                    <a:pos x="connsiteX700" y="connsiteY700"/>
                  </a:cxn>
                  <a:cxn ang="0">
                    <a:pos x="connsiteX701" y="connsiteY701"/>
                  </a:cxn>
                  <a:cxn ang="0">
                    <a:pos x="connsiteX702" y="connsiteY702"/>
                  </a:cxn>
                  <a:cxn ang="0">
                    <a:pos x="connsiteX703" y="connsiteY703"/>
                  </a:cxn>
                  <a:cxn ang="0">
                    <a:pos x="connsiteX704" y="connsiteY704"/>
                  </a:cxn>
                  <a:cxn ang="0">
                    <a:pos x="connsiteX705" y="connsiteY705"/>
                  </a:cxn>
                  <a:cxn ang="0">
                    <a:pos x="connsiteX706" y="connsiteY706"/>
                  </a:cxn>
                  <a:cxn ang="0">
                    <a:pos x="connsiteX707" y="connsiteY707"/>
                  </a:cxn>
                  <a:cxn ang="0">
                    <a:pos x="connsiteX708" y="connsiteY708"/>
                  </a:cxn>
                  <a:cxn ang="0">
                    <a:pos x="connsiteX709" y="connsiteY709"/>
                  </a:cxn>
                  <a:cxn ang="0">
                    <a:pos x="connsiteX710" y="connsiteY710"/>
                  </a:cxn>
                  <a:cxn ang="0">
                    <a:pos x="connsiteX711" y="connsiteY711"/>
                  </a:cxn>
                  <a:cxn ang="0">
                    <a:pos x="connsiteX712" y="connsiteY712"/>
                  </a:cxn>
                  <a:cxn ang="0">
                    <a:pos x="connsiteX713" y="connsiteY713"/>
                  </a:cxn>
                  <a:cxn ang="0">
                    <a:pos x="connsiteX714" y="connsiteY714"/>
                  </a:cxn>
                  <a:cxn ang="0">
                    <a:pos x="connsiteX715" y="connsiteY715"/>
                  </a:cxn>
                  <a:cxn ang="0">
                    <a:pos x="connsiteX716" y="connsiteY716"/>
                  </a:cxn>
                  <a:cxn ang="0">
                    <a:pos x="connsiteX717" y="connsiteY717"/>
                  </a:cxn>
                  <a:cxn ang="0">
                    <a:pos x="connsiteX718" y="connsiteY718"/>
                  </a:cxn>
                  <a:cxn ang="0">
                    <a:pos x="connsiteX719" y="connsiteY719"/>
                  </a:cxn>
                  <a:cxn ang="0">
                    <a:pos x="connsiteX720" y="connsiteY720"/>
                  </a:cxn>
                  <a:cxn ang="0">
                    <a:pos x="connsiteX721" y="connsiteY721"/>
                  </a:cxn>
                  <a:cxn ang="0">
                    <a:pos x="connsiteX722" y="connsiteY722"/>
                  </a:cxn>
                  <a:cxn ang="0">
                    <a:pos x="connsiteX723" y="connsiteY723"/>
                  </a:cxn>
                  <a:cxn ang="0">
                    <a:pos x="connsiteX724" y="connsiteY724"/>
                  </a:cxn>
                  <a:cxn ang="0">
                    <a:pos x="connsiteX725" y="connsiteY725"/>
                  </a:cxn>
                  <a:cxn ang="0">
                    <a:pos x="connsiteX726" y="connsiteY726"/>
                  </a:cxn>
                  <a:cxn ang="0">
                    <a:pos x="connsiteX727" y="connsiteY727"/>
                  </a:cxn>
                  <a:cxn ang="0">
                    <a:pos x="connsiteX728" y="connsiteY728"/>
                  </a:cxn>
                  <a:cxn ang="0">
                    <a:pos x="connsiteX729" y="connsiteY729"/>
                  </a:cxn>
                  <a:cxn ang="0">
                    <a:pos x="connsiteX730" y="connsiteY730"/>
                  </a:cxn>
                  <a:cxn ang="0">
                    <a:pos x="connsiteX731" y="connsiteY731"/>
                  </a:cxn>
                  <a:cxn ang="0">
                    <a:pos x="connsiteX732" y="connsiteY732"/>
                  </a:cxn>
                  <a:cxn ang="0">
                    <a:pos x="connsiteX733" y="connsiteY733"/>
                  </a:cxn>
                  <a:cxn ang="0">
                    <a:pos x="connsiteX734" y="connsiteY734"/>
                  </a:cxn>
                  <a:cxn ang="0">
                    <a:pos x="connsiteX735" y="connsiteY735"/>
                  </a:cxn>
                  <a:cxn ang="0">
                    <a:pos x="connsiteX736" y="connsiteY736"/>
                  </a:cxn>
                  <a:cxn ang="0">
                    <a:pos x="connsiteX737" y="connsiteY737"/>
                  </a:cxn>
                  <a:cxn ang="0">
                    <a:pos x="connsiteX738" y="connsiteY738"/>
                  </a:cxn>
                  <a:cxn ang="0">
                    <a:pos x="connsiteX739" y="connsiteY739"/>
                  </a:cxn>
                  <a:cxn ang="0">
                    <a:pos x="connsiteX740" y="connsiteY740"/>
                  </a:cxn>
                  <a:cxn ang="0">
                    <a:pos x="connsiteX741" y="connsiteY741"/>
                  </a:cxn>
                  <a:cxn ang="0">
                    <a:pos x="connsiteX742" y="connsiteY742"/>
                  </a:cxn>
                  <a:cxn ang="0">
                    <a:pos x="connsiteX743" y="connsiteY743"/>
                  </a:cxn>
                  <a:cxn ang="0">
                    <a:pos x="connsiteX744" y="connsiteY744"/>
                  </a:cxn>
                  <a:cxn ang="0">
                    <a:pos x="connsiteX745" y="connsiteY745"/>
                  </a:cxn>
                  <a:cxn ang="0">
                    <a:pos x="connsiteX746" y="connsiteY746"/>
                  </a:cxn>
                  <a:cxn ang="0">
                    <a:pos x="connsiteX747" y="connsiteY747"/>
                  </a:cxn>
                  <a:cxn ang="0">
                    <a:pos x="connsiteX748" y="connsiteY748"/>
                  </a:cxn>
                  <a:cxn ang="0">
                    <a:pos x="connsiteX749" y="connsiteY749"/>
                  </a:cxn>
                  <a:cxn ang="0">
                    <a:pos x="connsiteX750" y="connsiteY750"/>
                  </a:cxn>
                  <a:cxn ang="0">
                    <a:pos x="connsiteX751" y="connsiteY751"/>
                  </a:cxn>
                  <a:cxn ang="0">
                    <a:pos x="connsiteX752" y="connsiteY752"/>
                  </a:cxn>
                  <a:cxn ang="0">
                    <a:pos x="connsiteX753" y="connsiteY753"/>
                  </a:cxn>
                  <a:cxn ang="0">
                    <a:pos x="connsiteX754" y="connsiteY754"/>
                  </a:cxn>
                  <a:cxn ang="0">
                    <a:pos x="connsiteX755" y="connsiteY755"/>
                  </a:cxn>
                  <a:cxn ang="0">
                    <a:pos x="connsiteX756" y="connsiteY756"/>
                  </a:cxn>
                  <a:cxn ang="0">
                    <a:pos x="connsiteX757" y="connsiteY757"/>
                  </a:cxn>
                  <a:cxn ang="0">
                    <a:pos x="connsiteX758" y="connsiteY758"/>
                  </a:cxn>
                  <a:cxn ang="0">
                    <a:pos x="connsiteX759" y="connsiteY759"/>
                  </a:cxn>
                  <a:cxn ang="0">
                    <a:pos x="connsiteX760" y="connsiteY760"/>
                  </a:cxn>
                  <a:cxn ang="0">
                    <a:pos x="connsiteX761" y="connsiteY761"/>
                  </a:cxn>
                  <a:cxn ang="0">
                    <a:pos x="connsiteX762" y="connsiteY762"/>
                  </a:cxn>
                  <a:cxn ang="0">
                    <a:pos x="connsiteX763" y="connsiteY763"/>
                  </a:cxn>
                  <a:cxn ang="0">
                    <a:pos x="connsiteX764" y="connsiteY764"/>
                  </a:cxn>
                  <a:cxn ang="0">
                    <a:pos x="connsiteX765" y="connsiteY765"/>
                  </a:cxn>
                  <a:cxn ang="0">
                    <a:pos x="connsiteX766" y="connsiteY766"/>
                  </a:cxn>
                  <a:cxn ang="0">
                    <a:pos x="connsiteX767" y="connsiteY767"/>
                  </a:cxn>
                  <a:cxn ang="0">
                    <a:pos x="connsiteX768" y="connsiteY768"/>
                  </a:cxn>
                  <a:cxn ang="0">
                    <a:pos x="connsiteX769" y="connsiteY769"/>
                  </a:cxn>
                  <a:cxn ang="0">
                    <a:pos x="connsiteX770" y="connsiteY770"/>
                  </a:cxn>
                  <a:cxn ang="0">
                    <a:pos x="connsiteX771" y="connsiteY771"/>
                  </a:cxn>
                  <a:cxn ang="0">
                    <a:pos x="connsiteX772" y="connsiteY772"/>
                  </a:cxn>
                  <a:cxn ang="0">
                    <a:pos x="connsiteX773" y="connsiteY773"/>
                  </a:cxn>
                  <a:cxn ang="0">
                    <a:pos x="connsiteX774" y="connsiteY774"/>
                  </a:cxn>
                  <a:cxn ang="0">
                    <a:pos x="connsiteX775" y="connsiteY775"/>
                  </a:cxn>
                  <a:cxn ang="0">
                    <a:pos x="connsiteX776" y="connsiteY776"/>
                  </a:cxn>
                  <a:cxn ang="0">
                    <a:pos x="connsiteX777" y="connsiteY777"/>
                  </a:cxn>
                  <a:cxn ang="0">
                    <a:pos x="connsiteX778" y="connsiteY778"/>
                  </a:cxn>
                  <a:cxn ang="0">
                    <a:pos x="connsiteX779" y="connsiteY779"/>
                  </a:cxn>
                  <a:cxn ang="0">
                    <a:pos x="connsiteX780" y="connsiteY780"/>
                  </a:cxn>
                  <a:cxn ang="0">
                    <a:pos x="connsiteX781" y="connsiteY781"/>
                  </a:cxn>
                  <a:cxn ang="0">
                    <a:pos x="connsiteX782" y="connsiteY782"/>
                  </a:cxn>
                  <a:cxn ang="0">
                    <a:pos x="connsiteX783" y="connsiteY783"/>
                  </a:cxn>
                  <a:cxn ang="0">
                    <a:pos x="connsiteX784" y="connsiteY784"/>
                  </a:cxn>
                  <a:cxn ang="0">
                    <a:pos x="connsiteX785" y="connsiteY785"/>
                  </a:cxn>
                  <a:cxn ang="0">
                    <a:pos x="connsiteX786" y="connsiteY786"/>
                  </a:cxn>
                  <a:cxn ang="0">
                    <a:pos x="connsiteX787" y="connsiteY787"/>
                  </a:cxn>
                  <a:cxn ang="0">
                    <a:pos x="connsiteX788" y="connsiteY788"/>
                  </a:cxn>
                  <a:cxn ang="0">
                    <a:pos x="connsiteX789" y="connsiteY789"/>
                  </a:cxn>
                  <a:cxn ang="0">
                    <a:pos x="connsiteX790" y="connsiteY790"/>
                  </a:cxn>
                  <a:cxn ang="0">
                    <a:pos x="connsiteX791" y="connsiteY791"/>
                  </a:cxn>
                  <a:cxn ang="0">
                    <a:pos x="connsiteX792" y="connsiteY792"/>
                  </a:cxn>
                  <a:cxn ang="0">
                    <a:pos x="connsiteX793" y="connsiteY793"/>
                  </a:cxn>
                  <a:cxn ang="0">
                    <a:pos x="connsiteX794" y="connsiteY794"/>
                  </a:cxn>
                  <a:cxn ang="0">
                    <a:pos x="connsiteX795" y="connsiteY795"/>
                  </a:cxn>
                  <a:cxn ang="0">
                    <a:pos x="connsiteX796" y="connsiteY796"/>
                  </a:cxn>
                  <a:cxn ang="0">
                    <a:pos x="connsiteX797" y="connsiteY797"/>
                  </a:cxn>
                  <a:cxn ang="0">
                    <a:pos x="connsiteX798" y="connsiteY798"/>
                  </a:cxn>
                  <a:cxn ang="0">
                    <a:pos x="connsiteX799" y="connsiteY799"/>
                  </a:cxn>
                  <a:cxn ang="0">
                    <a:pos x="connsiteX800" y="connsiteY800"/>
                  </a:cxn>
                  <a:cxn ang="0">
                    <a:pos x="connsiteX801" y="connsiteY801"/>
                  </a:cxn>
                  <a:cxn ang="0">
                    <a:pos x="connsiteX802" y="connsiteY802"/>
                  </a:cxn>
                  <a:cxn ang="0">
                    <a:pos x="connsiteX803" y="connsiteY803"/>
                  </a:cxn>
                  <a:cxn ang="0">
                    <a:pos x="connsiteX804" y="connsiteY804"/>
                  </a:cxn>
                  <a:cxn ang="0">
                    <a:pos x="connsiteX805" y="connsiteY805"/>
                  </a:cxn>
                  <a:cxn ang="0">
                    <a:pos x="connsiteX806" y="connsiteY806"/>
                  </a:cxn>
                  <a:cxn ang="0">
                    <a:pos x="connsiteX807" y="connsiteY807"/>
                  </a:cxn>
                  <a:cxn ang="0">
                    <a:pos x="connsiteX808" y="connsiteY808"/>
                  </a:cxn>
                  <a:cxn ang="0">
                    <a:pos x="connsiteX809" y="connsiteY809"/>
                  </a:cxn>
                  <a:cxn ang="0">
                    <a:pos x="connsiteX810" y="connsiteY810"/>
                  </a:cxn>
                  <a:cxn ang="0">
                    <a:pos x="connsiteX811" y="connsiteY811"/>
                  </a:cxn>
                  <a:cxn ang="0">
                    <a:pos x="connsiteX812" y="connsiteY812"/>
                  </a:cxn>
                  <a:cxn ang="0">
                    <a:pos x="connsiteX813" y="connsiteY813"/>
                  </a:cxn>
                  <a:cxn ang="0">
                    <a:pos x="connsiteX814" y="connsiteY814"/>
                  </a:cxn>
                  <a:cxn ang="0">
                    <a:pos x="connsiteX815" y="connsiteY815"/>
                  </a:cxn>
                  <a:cxn ang="0">
                    <a:pos x="connsiteX816" y="connsiteY816"/>
                  </a:cxn>
                  <a:cxn ang="0">
                    <a:pos x="connsiteX817" y="connsiteY817"/>
                  </a:cxn>
                  <a:cxn ang="0">
                    <a:pos x="connsiteX818" y="connsiteY818"/>
                  </a:cxn>
                  <a:cxn ang="0">
                    <a:pos x="connsiteX819" y="connsiteY819"/>
                  </a:cxn>
                  <a:cxn ang="0">
                    <a:pos x="connsiteX820" y="connsiteY820"/>
                  </a:cxn>
                  <a:cxn ang="0">
                    <a:pos x="connsiteX821" y="connsiteY821"/>
                  </a:cxn>
                  <a:cxn ang="0">
                    <a:pos x="connsiteX822" y="connsiteY822"/>
                  </a:cxn>
                  <a:cxn ang="0">
                    <a:pos x="connsiteX823" y="connsiteY823"/>
                  </a:cxn>
                  <a:cxn ang="0">
                    <a:pos x="connsiteX824" y="connsiteY824"/>
                  </a:cxn>
                  <a:cxn ang="0">
                    <a:pos x="connsiteX825" y="connsiteY825"/>
                  </a:cxn>
                  <a:cxn ang="0">
                    <a:pos x="connsiteX826" y="connsiteY826"/>
                  </a:cxn>
                  <a:cxn ang="0">
                    <a:pos x="connsiteX827" y="connsiteY827"/>
                  </a:cxn>
                  <a:cxn ang="0">
                    <a:pos x="connsiteX828" y="connsiteY828"/>
                  </a:cxn>
                  <a:cxn ang="0">
                    <a:pos x="connsiteX829" y="connsiteY829"/>
                  </a:cxn>
                  <a:cxn ang="0">
                    <a:pos x="connsiteX830" y="connsiteY830"/>
                  </a:cxn>
                  <a:cxn ang="0">
                    <a:pos x="connsiteX831" y="connsiteY831"/>
                  </a:cxn>
                  <a:cxn ang="0">
                    <a:pos x="connsiteX832" y="connsiteY832"/>
                  </a:cxn>
                  <a:cxn ang="0">
                    <a:pos x="connsiteX833" y="connsiteY833"/>
                  </a:cxn>
                  <a:cxn ang="0">
                    <a:pos x="connsiteX834" y="connsiteY834"/>
                  </a:cxn>
                  <a:cxn ang="0">
                    <a:pos x="connsiteX835" y="connsiteY835"/>
                  </a:cxn>
                  <a:cxn ang="0">
                    <a:pos x="connsiteX836" y="connsiteY836"/>
                  </a:cxn>
                  <a:cxn ang="0">
                    <a:pos x="connsiteX837" y="connsiteY837"/>
                  </a:cxn>
                  <a:cxn ang="0">
                    <a:pos x="connsiteX838" y="connsiteY838"/>
                  </a:cxn>
                  <a:cxn ang="0">
                    <a:pos x="connsiteX839" y="connsiteY839"/>
                  </a:cxn>
                  <a:cxn ang="0">
                    <a:pos x="connsiteX840" y="connsiteY840"/>
                  </a:cxn>
                  <a:cxn ang="0">
                    <a:pos x="connsiteX841" y="connsiteY841"/>
                  </a:cxn>
                  <a:cxn ang="0">
                    <a:pos x="connsiteX842" y="connsiteY842"/>
                  </a:cxn>
                  <a:cxn ang="0">
                    <a:pos x="connsiteX843" y="connsiteY843"/>
                  </a:cxn>
                  <a:cxn ang="0">
                    <a:pos x="connsiteX844" y="connsiteY844"/>
                  </a:cxn>
                  <a:cxn ang="0">
                    <a:pos x="connsiteX845" y="connsiteY845"/>
                  </a:cxn>
                  <a:cxn ang="0">
                    <a:pos x="connsiteX846" y="connsiteY846"/>
                  </a:cxn>
                  <a:cxn ang="0">
                    <a:pos x="connsiteX847" y="connsiteY847"/>
                  </a:cxn>
                  <a:cxn ang="0">
                    <a:pos x="connsiteX848" y="connsiteY848"/>
                  </a:cxn>
                  <a:cxn ang="0">
                    <a:pos x="connsiteX849" y="connsiteY849"/>
                  </a:cxn>
                  <a:cxn ang="0">
                    <a:pos x="connsiteX850" y="connsiteY850"/>
                  </a:cxn>
                  <a:cxn ang="0">
                    <a:pos x="connsiteX851" y="connsiteY851"/>
                  </a:cxn>
                  <a:cxn ang="0">
                    <a:pos x="connsiteX852" y="connsiteY852"/>
                  </a:cxn>
                  <a:cxn ang="0">
                    <a:pos x="connsiteX853" y="connsiteY853"/>
                  </a:cxn>
                  <a:cxn ang="0">
                    <a:pos x="connsiteX854" y="connsiteY854"/>
                  </a:cxn>
                  <a:cxn ang="0">
                    <a:pos x="connsiteX855" y="connsiteY855"/>
                  </a:cxn>
                  <a:cxn ang="0">
                    <a:pos x="connsiteX856" y="connsiteY856"/>
                  </a:cxn>
                  <a:cxn ang="0">
                    <a:pos x="connsiteX857" y="connsiteY857"/>
                  </a:cxn>
                  <a:cxn ang="0">
                    <a:pos x="connsiteX858" y="connsiteY858"/>
                  </a:cxn>
                  <a:cxn ang="0">
                    <a:pos x="connsiteX859" y="connsiteY859"/>
                  </a:cxn>
                  <a:cxn ang="0">
                    <a:pos x="connsiteX860" y="connsiteY860"/>
                  </a:cxn>
                  <a:cxn ang="0">
                    <a:pos x="connsiteX861" y="connsiteY861"/>
                  </a:cxn>
                  <a:cxn ang="0">
                    <a:pos x="connsiteX862" y="connsiteY862"/>
                  </a:cxn>
                  <a:cxn ang="0">
                    <a:pos x="connsiteX863" y="connsiteY863"/>
                  </a:cxn>
                  <a:cxn ang="0">
                    <a:pos x="connsiteX864" y="connsiteY864"/>
                  </a:cxn>
                  <a:cxn ang="0">
                    <a:pos x="connsiteX865" y="connsiteY865"/>
                  </a:cxn>
                  <a:cxn ang="0">
                    <a:pos x="connsiteX866" y="connsiteY866"/>
                  </a:cxn>
                  <a:cxn ang="0">
                    <a:pos x="connsiteX867" y="connsiteY867"/>
                  </a:cxn>
                  <a:cxn ang="0">
                    <a:pos x="connsiteX868" y="connsiteY868"/>
                  </a:cxn>
                  <a:cxn ang="0">
                    <a:pos x="connsiteX869" y="connsiteY869"/>
                  </a:cxn>
                  <a:cxn ang="0">
                    <a:pos x="connsiteX870" y="connsiteY870"/>
                  </a:cxn>
                  <a:cxn ang="0">
                    <a:pos x="connsiteX871" y="connsiteY871"/>
                  </a:cxn>
                  <a:cxn ang="0">
                    <a:pos x="connsiteX872" y="connsiteY872"/>
                  </a:cxn>
                  <a:cxn ang="0">
                    <a:pos x="connsiteX873" y="connsiteY873"/>
                  </a:cxn>
                  <a:cxn ang="0">
                    <a:pos x="connsiteX874" y="connsiteY874"/>
                  </a:cxn>
                  <a:cxn ang="0">
                    <a:pos x="connsiteX875" y="connsiteY875"/>
                  </a:cxn>
                  <a:cxn ang="0">
                    <a:pos x="connsiteX876" y="connsiteY876"/>
                  </a:cxn>
                  <a:cxn ang="0">
                    <a:pos x="connsiteX877" y="connsiteY877"/>
                  </a:cxn>
                  <a:cxn ang="0">
                    <a:pos x="connsiteX878" y="connsiteY878"/>
                  </a:cxn>
                  <a:cxn ang="0">
                    <a:pos x="connsiteX879" y="connsiteY879"/>
                  </a:cxn>
                  <a:cxn ang="0">
                    <a:pos x="connsiteX880" y="connsiteY880"/>
                  </a:cxn>
                  <a:cxn ang="0">
                    <a:pos x="connsiteX881" y="connsiteY881"/>
                  </a:cxn>
                  <a:cxn ang="0">
                    <a:pos x="connsiteX882" y="connsiteY882"/>
                  </a:cxn>
                  <a:cxn ang="0">
                    <a:pos x="connsiteX883" y="connsiteY883"/>
                  </a:cxn>
                  <a:cxn ang="0">
                    <a:pos x="connsiteX884" y="connsiteY884"/>
                  </a:cxn>
                  <a:cxn ang="0">
                    <a:pos x="connsiteX885" y="connsiteY885"/>
                  </a:cxn>
                  <a:cxn ang="0">
                    <a:pos x="connsiteX886" y="connsiteY886"/>
                  </a:cxn>
                  <a:cxn ang="0">
                    <a:pos x="connsiteX887" y="connsiteY887"/>
                  </a:cxn>
                  <a:cxn ang="0">
                    <a:pos x="connsiteX888" y="connsiteY888"/>
                  </a:cxn>
                  <a:cxn ang="0">
                    <a:pos x="connsiteX889" y="connsiteY889"/>
                  </a:cxn>
                  <a:cxn ang="0">
                    <a:pos x="connsiteX890" y="connsiteY890"/>
                  </a:cxn>
                  <a:cxn ang="0">
                    <a:pos x="connsiteX891" y="connsiteY891"/>
                  </a:cxn>
                  <a:cxn ang="0">
                    <a:pos x="connsiteX892" y="connsiteY892"/>
                  </a:cxn>
                  <a:cxn ang="0">
                    <a:pos x="connsiteX893" y="connsiteY893"/>
                  </a:cxn>
                  <a:cxn ang="0">
                    <a:pos x="connsiteX894" y="connsiteY894"/>
                  </a:cxn>
                  <a:cxn ang="0">
                    <a:pos x="connsiteX895" y="connsiteY895"/>
                  </a:cxn>
                  <a:cxn ang="0">
                    <a:pos x="connsiteX896" y="connsiteY896"/>
                  </a:cxn>
                  <a:cxn ang="0">
                    <a:pos x="connsiteX897" y="connsiteY897"/>
                  </a:cxn>
                  <a:cxn ang="0">
                    <a:pos x="connsiteX898" y="connsiteY898"/>
                  </a:cxn>
                  <a:cxn ang="0">
                    <a:pos x="connsiteX899" y="connsiteY899"/>
                  </a:cxn>
                  <a:cxn ang="0">
                    <a:pos x="connsiteX900" y="connsiteY900"/>
                  </a:cxn>
                  <a:cxn ang="0">
                    <a:pos x="connsiteX901" y="connsiteY901"/>
                  </a:cxn>
                  <a:cxn ang="0">
                    <a:pos x="connsiteX902" y="connsiteY902"/>
                  </a:cxn>
                  <a:cxn ang="0">
                    <a:pos x="connsiteX903" y="connsiteY903"/>
                  </a:cxn>
                  <a:cxn ang="0">
                    <a:pos x="connsiteX904" y="connsiteY904"/>
                  </a:cxn>
                  <a:cxn ang="0">
                    <a:pos x="connsiteX905" y="connsiteY905"/>
                  </a:cxn>
                  <a:cxn ang="0">
                    <a:pos x="connsiteX906" y="connsiteY906"/>
                  </a:cxn>
                  <a:cxn ang="0">
                    <a:pos x="connsiteX907" y="connsiteY907"/>
                  </a:cxn>
                  <a:cxn ang="0">
                    <a:pos x="connsiteX908" y="connsiteY908"/>
                  </a:cxn>
                  <a:cxn ang="0">
                    <a:pos x="connsiteX909" y="connsiteY909"/>
                  </a:cxn>
                  <a:cxn ang="0">
                    <a:pos x="connsiteX910" y="connsiteY910"/>
                  </a:cxn>
                  <a:cxn ang="0">
                    <a:pos x="connsiteX911" y="connsiteY911"/>
                  </a:cxn>
                  <a:cxn ang="0">
                    <a:pos x="connsiteX912" y="connsiteY912"/>
                  </a:cxn>
                  <a:cxn ang="0">
                    <a:pos x="connsiteX913" y="connsiteY913"/>
                  </a:cxn>
                  <a:cxn ang="0">
                    <a:pos x="connsiteX914" y="connsiteY914"/>
                  </a:cxn>
                  <a:cxn ang="0">
                    <a:pos x="connsiteX915" y="connsiteY915"/>
                  </a:cxn>
                  <a:cxn ang="0">
                    <a:pos x="connsiteX916" y="connsiteY916"/>
                  </a:cxn>
                  <a:cxn ang="0">
                    <a:pos x="connsiteX917" y="connsiteY917"/>
                  </a:cxn>
                  <a:cxn ang="0">
                    <a:pos x="connsiteX918" y="connsiteY918"/>
                  </a:cxn>
                  <a:cxn ang="0">
                    <a:pos x="connsiteX919" y="connsiteY919"/>
                  </a:cxn>
                  <a:cxn ang="0">
                    <a:pos x="connsiteX920" y="connsiteY920"/>
                  </a:cxn>
                  <a:cxn ang="0">
                    <a:pos x="connsiteX921" y="connsiteY921"/>
                  </a:cxn>
                  <a:cxn ang="0">
                    <a:pos x="connsiteX922" y="connsiteY922"/>
                  </a:cxn>
                  <a:cxn ang="0">
                    <a:pos x="connsiteX923" y="connsiteY923"/>
                  </a:cxn>
                  <a:cxn ang="0">
                    <a:pos x="connsiteX924" y="connsiteY924"/>
                  </a:cxn>
                  <a:cxn ang="0">
                    <a:pos x="connsiteX925" y="connsiteY925"/>
                  </a:cxn>
                  <a:cxn ang="0">
                    <a:pos x="connsiteX926" y="connsiteY926"/>
                  </a:cxn>
                  <a:cxn ang="0">
                    <a:pos x="connsiteX927" y="connsiteY927"/>
                  </a:cxn>
                  <a:cxn ang="0">
                    <a:pos x="connsiteX928" y="connsiteY928"/>
                  </a:cxn>
                  <a:cxn ang="0">
                    <a:pos x="connsiteX929" y="connsiteY929"/>
                  </a:cxn>
                  <a:cxn ang="0">
                    <a:pos x="connsiteX930" y="connsiteY930"/>
                  </a:cxn>
                  <a:cxn ang="0">
                    <a:pos x="connsiteX931" y="connsiteY931"/>
                  </a:cxn>
                  <a:cxn ang="0">
                    <a:pos x="connsiteX932" y="connsiteY932"/>
                  </a:cxn>
                  <a:cxn ang="0">
                    <a:pos x="connsiteX933" y="connsiteY933"/>
                  </a:cxn>
                  <a:cxn ang="0">
                    <a:pos x="connsiteX934" y="connsiteY934"/>
                  </a:cxn>
                  <a:cxn ang="0">
                    <a:pos x="connsiteX935" y="connsiteY935"/>
                  </a:cxn>
                  <a:cxn ang="0">
                    <a:pos x="connsiteX936" y="connsiteY936"/>
                  </a:cxn>
                  <a:cxn ang="0">
                    <a:pos x="connsiteX937" y="connsiteY937"/>
                  </a:cxn>
                  <a:cxn ang="0">
                    <a:pos x="connsiteX938" y="connsiteY938"/>
                  </a:cxn>
                  <a:cxn ang="0">
                    <a:pos x="connsiteX939" y="connsiteY939"/>
                  </a:cxn>
                  <a:cxn ang="0">
                    <a:pos x="connsiteX940" y="connsiteY940"/>
                  </a:cxn>
                  <a:cxn ang="0">
                    <a:pos x="connsiteX941" y="connsiteY941"/>
                  </a:cxn>
                  <a:cxn ang="0">
                    <a:pos x="connsiteX942" y="connsiteY942"/>
                  </a:cxn>
                  <a:cxn ang="0">
                    <a:pos x="connsiteX943" y="connsiteY943"/>
                  </a:cxn>
                  <a:cxn ang="0">
                    <a:pos x="connsiteX944" y="connsiteY944"/>
                  </a:cxn>
                  <a:cxn ang="0">
                    <a:pos x="connsiteX945" y="connsiteY945"/>
                  </a:cxn>
                  <a:cxn ang="0">
                    <a:pos x="connsiteX946" y="connsiteY946"/>
                  </a:cxn>
                  <a:cxn ang="0">
                    <a:pos x="connsiteX947" y="connsiteY947"/>
                  </a:cxn>
                  <a:cxn ang="0">
                    <a:pos x="connsiteX948" y="connsiteY948"/>
                  </a:cxn>
                  <a:cxn ang="0">
                    <a:pos x="connsiteX949" y="connsiteY949"/>
                  </a:cxn>
                  <a:cxn ang="0">
                    <a:pos x="connsiteX950" y="connsiteY950"/>
                  </a:cxn>
                  <a:cxn ang="0">
                    <a:pos x="connsiteX951" y="connsiteY951"/>
                  </a:cxn>
                  <a:cxn ang="0">
                    <a:pos x="connsiteX952" y="connsiteY952"/>
                  </a:cxn>
                  <a:cxn ang="0">
                    <a:pos x="connsiteX953" y="connsiteY953"/>
                  </a:cxn>
                  <a:cxn ang="0">
                    <a:pos x="connsiteX954" y="connsiteY954"/>
                  </a:cxn>
                  <a:cxn ang="0">
                    <a:pos x="connsiteX955" y="connsiteY955"/>
                  </a:cxn>
                  <a:cxn ang="0">
                    <a:pos x="connsiteX956" y="connsiteY956"/>
                  </a:cxn>
                  <a:cxn ang="0">
                    <a:pos x="connsiteX957" y="connsiteY957"/>
                  </a:cxn>
                  <a:cxn ang="0">
                    <a:pos x="connsiteX958" y="connsiteY958"/>
                  </a:cxn>
                  <a:cxn ang="0">
                    <a:pos x="connsiteX959" y="connsiteY959"/>
                  </a:cxn>
                  <a:cxn ang="0">
                    <a:pos x="connsiteX960" y="connsiteY960"/>
                  </a:cxn>
                  <a:cxn ang="0">
                    <a:pos x="connsiteX961" y="connsiteY961"/>
                  </a:cxn>
                  <a:cxn ang="0">
                    <a:pos x="connsiteX962" y="connsiteY962"/>
                  </a:cxn>
                  <a:cxn ang="0">
                    <a:pos x="connsiteX963" y="connsiteY963"/>
                  </a:cxn>
                  <a:cxn ang="0">
                    <a:pos x="connsiteX964" y="connsiteY964"/>
                  </a:cxn>
                  <a:cxn ang="0">
                    <a:pos x="connsiteX965" y="connsiteY965"/>
                  </a:cxn>
                  <a:cxn ang="0">
                    <a:pos x="connsiteX966" y="connsiteY966"/>
                  </a:cxn>
                  <a:cxn ang="0">
                    <a:pos x="connsiteX967" y="connsiteY967"/>
                  </a:cxn>
                  <a:cxn ang="0">
                    <a:pos x="connsiteX968" y="connsiteY968"/>
                  </a:cxn>
                  <a:cxn ang="0">
                    <a:pos x="connsiteX969" y="connsiteY969"/>
                  </a:cxn>
                  <a:cxn ang="0">
                    <a:pos x="connsiteX970" y="connsiteY970"/>
                  </a:cxn>
                  <a:cxn ang="0">
                    <a:pos x="connsiteX971" y="connsiteY971"/>
                  </a:cxn>
                  <a:cxn ang="0">
                    <a:pos x="connsiteX972" y="connsiteY972"/>
                  </a:cxn>
                  <a:cxn ang="0">
                    <a:pos x="connsiteX973" y="connsiteY973"/>
                  </a:cxn>
                  <a:cxn ang="0">
                    <a:pos x="connsiteX974" y="connsiteY974"/>
                  </a:cxn>
                  <a:cxn ang="0">
                    <a:pos x="connsiteX975" y="connsiteY975"/>
                  </a:cxn>
                  <a:cxn ang="0">
                    <a:pos x="connsiteX976" y="connsiteY976"/>
                  </a:cxn>
                  <a:cxn ang="0">
                    <a:pos x="connsiteX977" y="connsiteY977"/>
                  </a:cxn>
                  <a:cxn ang="0">
                    <a:pos x="connsiteX978" y="connsiteY978"/>
                  </a:cxn>
                  <a:cxn ang="0">
                    <a:pos x="connsiteX979" y="connsiteY979"/>
                  </a:cxn>
                  <a:cxn ang="0">
                    <a:pos x="connsiteX980" y="connsiteY980"/>
                  </a:cxn>
                  <a:cxn ang="0">
                    <a:pos x="connsiteX981" y="connsiteY981"/>
                  </a:cxn>
                  <a:cxn ang="0">
                    <a:pos x="connsiteX982" y="connsiteY982"/>
                  </a:cxn>
                  <a:cxn ang="0">
                    <a:pos x="connsiteX983" y="connsiteY983"/>
                  </a:cxn>
                  <a:cxn ang="0">
                    <a:pos x="connsiteX984" y="connsiteY984"/>
                  </a:cxn>
                  <a:cxn ang="0">
                    <a:pos x="connsiteX985" y="connsiteY985"/>
                  </a:cxn>
                  <a:cxn ang="0">
                    <a:pos x="connsiteX986" y="connsiteY986"/>
                  </a:cxn>
                  <a:cxn ang="0">
                    <a:pos x="connsiteX987" y="connsiteY987"/>
                  </a:cxn>
                  <a:cxn ang="0">
                    <a:pos x="connsiteX988" y="connsiteY988"/>
                  </a:cxn>
                  <a:cxn ang="0">
                    <a:pos x="connsiteX989" y="connsiteY989"/>
                  </a:cxn>
                  <a:cxn ang="0">
                    <a:pos x="connsiteX990" y="connsiteY990"/>
                  </a:cxn>
                  <a:cxn ang="0">
                    <a:pos x="connsiteX991" y="connsiteY991"/>
                  </a:cxn>
                  <a:cxn ang="0">
                    <a:pos x="connsiteX992" y="connsiteY992"/>
                  </a:cxn>
                  <a:cxn ang="0">
                    <a:pos x="connsiteX993" y="connsiteY993"/>
                  </a:cxn>
                  <a:cxn ang="0">
                    <a:pos x="connsiteX994" y="connsiteY994"/>
                  </a:cxn>
                  <a:cxn ang="0">
                    <a:pos x="connsiteX995" y="connsiteY995"/>
                  </a:cxn>
                  <a:cxn ang="0">
                    <a:pos x="connsiteX996" y="connsiteY996"/>
                  </a:cxn>
                  <a:cxn ang="0">
                    <a:pos x="connsiteX997" y="connsiteY997"/>
                  </a:cxn>
                  <a:cxn ang="0">
                    <a:pos x="connsiteX998" y="connsiteY998"/>
                  </a:cxn>
                  <a:cxn ang="0">
                    <a:pos x="connsiteX999" y="connsiteY999"/>
                  </a:cxn>
                  <a:cxn ang="0">
                    <a:pos x="connsiteX1000" y="connsiteY1000"/>
                  </a:cxn>
                  <a:cxn ang="0">
                    <a:pos x="connsiteX1001" y="connsiteY1001"/>
                  </a:cxn>
                  <a:cxn ang="0">
                    <a:pos x="connsiteX1002" y="connsiteY1002"/>
                  </a:cxn>
                  <a:cxn ang="0">
                    <a:pos x="connsiteX1003" y="connsiteY1003"/>
                  </a:cxn>
                  <a:cxn ang="0">
                    <a:pos x="connsiteX1004" y="connsiteY1004"/>
                  </a:cxn>
                  <a:cxn ang="0">
                    <a:pos x="connsiteX1005" y="connsiteY1005"/>
                  </a:cxn>
                  <a:cxn ang="0">
                    <a:pos x="connsiteX1006" y="connsiteY1006"/>
                  </a:cxn>
                  <a:cxn ang="0">
                    <a:pos x="connsiteX1007" y="connsiteY1007"/>
                  </a:cxn>
                  <a:cxn ang="0">
                    <a:pos x="connsiteX1008" y="connsiteY1008"/>
                  </a:cxn>
                  <a:cxn ang="0">
                    <a:pos x="connsiteX1009" y="connsiteY1009"/>
                  </a:cxn>
                  <a:cxn ang="0">
                    <a:pos x="connsiteX1010" y="connsiteY1010"/>
                  </a:cxn>
                  <a:cxn ang="0">
                    <a:pos x="connsiteX1011" y="connsiteY1011"/>
                  </a:cxn>
                  <a:cxn ang="0">
                    <a:pos x="connsiteX1012" y="connsiteY1012"/>
                  </a:cxn>
                  <a:cxn ang="0">
                    <a:pos x="connsiteX1013" y="connsiteY1013"/>
                  </a:cxn>
                  <a:cxn ang="0">
                    <a:pos x="connsiteX1014" y="connsiteY1014"/>
                  </a:cxn>
                  <a:cxn ang="0">
                    <a:pos x="connsiteX1015" y="connsiteY1015"/>
                  </a:cxn>
                  <a:cxn ang="0">
                    <a:pos x="connsiteX1016" y="connsiteY1016"/>
                  </a:cxn>
                  <a:cxn ang="0">
                    <a:pos x="connsiteX1017" y="connsiteY1017"/>
                  </a:cxn>
                  <a:cxn ang="0">
                    <a:pos x="connsiteX1018" y="connsiteY1018"/>
                  </a:cxn>
                  <a:cxn ang="0">
                    <a:pos x="connsiteX1019" y="connsiteY1019"/>
                  </a:cxn>
                  <a:cxn ang="0">
                    <a:pos x="connsiteX1020" y="connsiteY1020"/>
                  </a:cxn>
                  <a:cxn ang="0">
                    <a:pos x="connsiteX1021" y="connsiteY1021"/>
                  </a:cxn>
                  <a:cxn ang="0">
                    <a:pos x="connsiteX1022" y="connsiteY1022"/>
                  </a:cxn>
                  <a:cxn ang="0">
                    <a:pos x="connsiteX1023" y="connsiteY1023"/>
                  </a:cxn>
                  <a:cxn ang="0">
                    <a:pos x="connsiteX1024" y="connsiteY1024"/>
                  </a:cxn>
                  <a:cxn ang="0">
                    <a:pos x="connsiteX1025" y="connsiteY1025"/>
                  </a:cxn>
                  <a:cxn ang="0">
                    <a:pos x="connsiteX1026" y="connsiteY1026"/>
                  </a:cxn>
                  <a:cxn ang="0">
                    <a:pos x="connsiteX1027" y="connsiteY1027"/>
                  </a:cxn>
                  <a:cxn ang="0">
                    <a:pos x="connsiteX1028" y="connsiteY1028"/>
                  </a:cxn>
                  <a:cxn ang="0">
                    <a:pos x="connsiteX1029" y="connsiteY1029"/>
                  </a:cxn>
                  <a:cxn ang="0">
                    <a:pos x="connsiteX1030" y="connsiteY1030"/>
                  </a:cxn>
                  <a:cxn ang="0">
                    <a:pos x="connsiteX1031" y="connsiteY1031"/>
                  </a:cxn>
                  <a:cxn ang="0">
                    <a:pos x="connsiteX1032" y="connsiteY1032"/>
                  </a:cxn>
                  <a:cxn ang="0">
                    <a:pos x="connsiteX1033" y="connsiteY1033"/>
                  </a:cxn>
                  <a:cxn ang="0">
                    <a:pos x="connsiteX1034" y="connsiteY1034"/>
                  </a:cxn>
                  <a:cxn ang="0">
                    <a:pos x="connsiteX1035" y="connsiteY1035"/>
                  </a:cxn>
                </a:cxnLst>
                <a:rect l="l" t="t" r="r" b="b"/>
                <a:pathLst>
                  <a:path w="3893634" h="3926159">
                    <a:moveTo>
                      <a:pt x="3879695" y="497159"/>
                    </a:moveTo>
                    <a:lnTo>
                      <a:pt x="3879695" y="2578720"/>
                    </a:lnTo>
                    <a:lnTo>
                      <a:pt x="3893634" y="2578720"/>
                    </a:lnTo>
                    <a:cubicBezTo>
                      <a:pt x="3881244" y="2584915"/>
                      <a:pt x="3868625" y="2590672"/>
                      <a:pt x="3856464" y="2597305"/>
                    </a:cubicBezTo>
                    <a:cubicBezTo>
                      <a:pt x="3851562" y="2599979"/>
                      <a:pt x="3847628" y="2604330"/>
                      <a:pt x="3842525" y="2606598"/>
                    </a:cubicBezTo>
                    <a:cubicBezTo>
                      <a:pt x="3833574" y="2610576"/>
                      <a:pt x="3823940" y="2612792"/>
                      <a:pt x="3814647" y="2615890"/>
                    </a:cubicBezTo>
                    <a:lnTo>
                      <a:pt x="3800708" y="2620537"/>
                    </a:lnTo>
                    <a:lnTo>
                      <a:pt x="3786769" y="2625183"/>
                    </a:lnTo>
                    <a:lnTo>
                      <a:pt x="3758891" y="2643769"/>
                    </a:lnTo>
                    <a:lnTo>
                      <a:pt x="3744952" y="2653061"/>
                    </a:lnTo>
                    <a:cubicBezTo>
                      <a:pt x="3739593" y="2669136"/>
                      <a:pt x="3735138" y="2675251"/>
                      <a:pt x="3744952" y="2694878"/>
                    </a:cubicBezTo>
                    <a:cubicBezTo>
                      <a:pt x="3747449" y="2699873"/>
                      <a:pt x="3754245" y="2701073"/>
                      <a:pt x="3758891" y="2704171"/>
                    </a:cubicBezTo>
                    <a:cubicBezTo>
                      <a:pt x="3764612" y="2721336"/>
                      <a:pt x="3769568" y="2729279"/>
                      <a:pt x="3758891" y="2750634"/>
                    </a:cubicBezTo>
                    <a:cubicBezTo>
                      <a:pt x="3756701" y="2755015"/>
                      <a:pt x="3749598" y="2753732"/>
                      <a:pt x="3744952" y="2755281"/>
                    </a:cubicBezTo>
                    <a:cubicBezTo>
                      <a:pt x="3735659" y="2753732"/>
                      <a:pt x="3724163" y="2756838"/>
                      <a:pt x="3717073" y="2750634"/>
                    </a:cubicBezTo>
                    <a:cubicBezTo>
                      <a:pt x="3709701" y="2744184"/>
                      <a:pt x="3710879" y="2732049"/>
                      <a:pt x="3707781" y="2722756"/>
                    </a:cubicBezTo>
                    <a:cubicBezTo>
                      <a:pt x="3706232" y="2718110"/>
                      <a:pt x="3707209" y="2711534"/>
                      <a:pt x="3703134" y="2708817"/>
                    </a:cubicBezTo>
                    <a:cubicBezTo>
                      <a:pt x="3698488" y="2705720"/>
                      <a:pt x="3694298" y="2701793"/>
                      <a:pt x="3689195" y="2699525"/>
                    </a:cubicBezTo>
                    <a:cubicBezTo>
                      <a:pt x="3680244" y="2695547"/>
                      <a:pt x="3661317" y="2690232"/>
                      <a:pt x="3661317" y="2690232"/>
                    </a:cubicBezTo>
                    <a:cubicBezTo>
                      <a:pt x="3660431" y="2701753"/>
                      <a:pt x="3662053" y="2744516"/>
                      <a:pt x="3652025" y="2764573"/>
                    </a:cubicBezTo>
                    <a:cubicBezTo>
                      <a:pt x="3649528" y="2769568"/>
                      <a:pt x="3645830" y="2773866"/>
                      <a:pt x="3642732" y="2778512"/>
                    </a:cubicBezTo>
                    <a:cubicBezTo>
                      <a:pt x="3628245" y="2821976"/>
                      <a:pt x="3643218" y="2762110"/>
                      <a:pt x="3652025" y="2801744"/>
                    </a:cubicBezTo>
                    <a:cubicBezTo>
                      <a:pt x="3654401" y="2812435"/>
                      <a:pt x="3651309" y="2824047"/>
                      <a:pt x="3647378" y="2834269"/>
                    </a:cubicBezTo>
                    <a:cubicBezTo>
                      <a:pt x="3643369" y="2844693"/>
                      <a:pt x="3628793" y="2862147"/>
                      <a:pt x="3628793" y="2862147"/>
                    </a:cubicBezTo>
                    <a:cubicBezTo>
                      <a:pt x="3630342" y="2874537"/>
                      <a:pt x="3631205" y="2887032"/>
                      <a:pt x="3633439" y="2899317"/>
                    </a:cubicBezTo>
                    <a:cubicBezTo>
                      <a:pt x="3634315" y="2904136"/>
                      <a:pt x="3634101" y="2910409"/>
                      <a:pt x="3638086" y="2913256"/>
                    </a:cubicBezTo>
                    <a:cubicBezTo>
                      <a:pt x="3646057" y="2918949"/>
                      <a:pt x="3665964" y="2922549"/>
                      <a:pt x="3665964" y="2922549"/>
                    </a:cubicBezTo>
                    <a:cubicBezTo>
                      <a:pt x="3669061" y="2927195"/>
                      <a:pt x="3671308" y="2932539"/>
                      <a:pt x="3675256" y="2936488"/>
                    </a:cubicBezTo>
                    <a:cubicBezTo>
                      <a:pt x="3679205" y="2940437"/>
                      <a:pt x="3685706" y="2941420"/>
                      <a:pt x="3689195" y="2945781"/>
                    </a:cubicBezTo>
                    <a:cubicBezTo>
                      <a:pt x="3692255" y="2949605"/>
                      <a:pt x="3689461" y="2957530"/>
                      <a:pt x="3693842" y="2959720"/>
                    </a:cubicBezTo>
                    <a:cubicBezTo>
                      <a:pt x="3703637" y="2964618"/>
                      <a:pt x="3715525" y="2962817"/>
                      <a:pt x="3726366" y="2964366"/>
                    </a:cubicBezTo>
                    <a:cubicBezTo>
                      <a:pt x="3731012" y="2965915"/>
                      <a:pt x="3736481" y="2965953"/>
                      <a:pt x="3740305" y="2969012"/>
                    </a:cubicBezTo>
                    <a:cubicBezTo>
                      <a:pt x="3748494" y="2975563"/>
                      <a:pt x="3751183" y="2987707"/>
                      <a:pt x="3754244" y="2996890"/>
                    </a:cubicBezTo>
                    <a:cubicBezTo>
                      <a:pt x="3752695" y="3009280"/>
                      <a:pt x="3754669" y="3022650"/>
                      <a:pt x="3749598" y="3034061"/>
                    </a:cubicBezTo>
                    <a:cubicBezTo>
                      <a:pt x="3747609" y="3038537"/>
                      <a:pt x="3740368" y="3037362"/>
                      <a:pt x="3735659" y="3038708"/>
                    </a:cubicBezTo>
                    <a:cubicBezTo>
                      <a:pt x="3729519" y="3040462"/>
                      <a:pt x="3723268" y="3041805"/>
                      <a:pt x="3717073" y="3043354"/>
                    </a:cubicBezTo>
                    <a:cubicBezTo>
                      <a:pt x="3718622" y="3048000"/>
                      <a:pt x="3717735" y="3054446"/>
                      <a:pt x="3721720" y="3057293"/>
                    </a:cubicBezTo>
                    <a:cubicBezTo>
                      <a:pt x="3729691" y="3062986"/>
                      <a:pt x="3749598" y="3066586"/>
                      <a:pt x="3749598" y="3066586"/>
                    </a:cubicBezTo>
                    <a:cubicBezTo>
                      <a:pt x="3757129" y="3089181"/>
                      <a:pt x="3761204" y="3095071"/>
                      <a:pt x="3749598" y="3126988"/>
                    </a:cubicBezTo>
                    <a:cubicBezTo>
                      <a:pt x="3747924" y="3131591"/>
                      <a:pt x="3740305" y="3130085"/>
                      <a:pt x="3735659" y="3131634"/>
                    </a:cubicBezTo>
                    <a:cubicBezTo>
                      <a:pt x="3729464" y="3130085"/>
                      <a:pt x="3722060" y="3130977"/>
                      <a:pt x="3717073" y="3126988"/>
                    </a:cubicBezTo>
                    <a:cubicBezTo>
                      <a:pt x="3713249" y="3123929"/>
                      <a:pt x="3715890" y="3116512"/>
                      <a:pt x="3712427" y="3113049"/>
                    </a:cubicBezTo>
                    <a:cubicBezTo>
                      <a:pt x="3708964" y="3109586"/>
                      <a:pt x="3703134" y="3109952"/>
                      <a:pt x="3698488" y="3108403"/>
                    </a:cubicBezTo>
                    <a:cubicBezTo>
                      <a:pt x="3695390" y="3103757"/>
                      <a:pt x="3694380" y="3096538"/>
                      <a:pt x="3689195" y="3094464"/>
                    </a:cubicBezTo>
                    <a:cubicBezTo>
                      <a:pt x="3684648" y="3092645"/>
                      <a:pt x="3676265" y="3094317"/>
                      <a:pt x="3675256" y="3099110"/>
                    </a:cubicBezTo>
                    <a:cubicBezTo>
                      <a:pt x="3669504" y="3126432"/>
                      <a:pt x="3679076" y="3156137"/>
                      <a:pt x="3670610" y="3182744"/>
                    </a:cubicBezTo>
                    <a:cubicBezTo>
                      <a:pt x="3667224" y="3193387"/>
                      <a:pt x="3642732" y="3201329"/>
                      <a:pt x="3642732" y="3201329"/>
                    </a:cubicBezTo>
                    <a:cubicBezTo>
                      <a:pt x="3631247" y="3235789"/>
                      <a:pt x="3635274" y="3217841"/>
                      <a:pt x="3642732" y="3284964"/>
                    </a:cubicBezTo>
                    <a:cubicBezTo>
                      <a:pt x="3643273" y="3289832"/>
                      <a:pt x="3644318" y="3295079"/>
                      <a:pt x="3647378" y="3298903"/>
                    </a:cubicBezTo>
                    <a:cubicBezTo>
                      <a:pt x="3653927" y="3307089"/>
                      <a:pt x="3666075" y="3309781"/>
                      <a:pt x="3675256" y="3312842"/>
                    </a:cubicBezTo>
                    <a:cubicBezTo>
                      <a:pt x="3676805" y="3339171"/>
                      <a:pt x="3674300" y="3366056"/>
                      <a:pt x="3679903" y="3391829"/>
                    </a:cubicBezTo>
                    <a:cubicBezTo>
                      <a:pt x="3682196" y="3402375"/>
                      <a:pt x="3702320" y="3425225"/>
                      <a:pt x="3712427" y="3433647"/>
                    </a:cubicBezTo>
                    <a:cubicBezTo>
                      <a:pt x="3716717" y="3437222"/>
                      <a:pt x="3721720" y="3439842"/>
                      <a:pt x="3726366" y="3442939"/>
                    </a:cubicBezTo>
                    <a:cubicBezTo>
                      <a:pt x="3729464" y="3447585"/>
                      <a:pt x="3733391" y="3451775"/>
                      <a:pt x="3735659" y="3456878"/>
                    </a:cubicBezTo>
                    <a:cubicBezTo>
                      <a:pt x="3739966" y="3466569"/>
                      <a:pt x="3743368" y="3489993"/>
                      <a:pt x="3754244" y="3498695"/>
                    </a:cubicBezTo>
                    <a:cubicBezTo>
                      <a:pt x="3758068" y="3501755"/>
                      <a:pt x="3763537" y="3501793"/>
                      <a:pt x="3768183" y="3503342"/>
                    </a:cubicBezTo>
                    <a:cubicBezTo>
                      <a:pt x="3771497" y="3513283"/>
                      <a:pt x="3773647" y="3523804"/>
                      <a:pt x="3782122" y="3531220"/>
                    </a:cubicBezTo>
                    <a:cubicBezTo>
                      <a:pt x="3790527" y="3538574"/>
                      <a:pt x="3800707" y="3543610"/>
                      <a:pt x="3810000" y="3549805"/>
                    </a:cubicBezTo>
                    <a:cubicBezTo>
                      <a:pt x="3828015" y="3561815"/>
                      <a:pt x="3818640" y="3557332"/>
                      <a:pt x="3837878" y="3563744"/>
                    </a:cubicBezTo>
                    <a:lnTo>
                      <a:pt x="3847171" y="3591622"/>
                    </a:lnTo>
                    <a:cubicBezTo>
                      <a:pt x="3850269" y="3600915"/>
                      <a:pt x="3819293" y="3600915"/>
                      <a:pt x="3819293" y="3600915"/>
                    </a:cubicBezTo>
                    <a:cubicBezTo>
                      <a:pt x="3795275" y="3636943"/>
                      <a:pt x="3804240" y="3618198"/>
                      <a:pt x="3791415" y="3656671"/>
                    </a:cubicBezTo>
                    <a:cubicBezTo>
                      <a:pt x="3787883" y="3667266"/>
                      <a:pt x="3772830" y="3684549"/>
                      <a:pt x="3772830" y="3684549"/>
                    </a:cubicBezTo>
                    <a:cubicBezTo>
                      <a:pt x="3771281" y="3693842"/>
                      <a:pt x="3772396" y="3704001"/>
                      <a:pt x="3768183" y="3712427"/>
                    </a:cubicBezTo>
                    <a:cubicBezTo>
                      <a:pt x="3764580" y="3719634"/>
                      <a:pt x="3746903" y="3724167"/>
                      <a:pt x="3740305" y="3726366"/>
                    </a:cubicBezTo>
                    <a:cubicBezTo>
                      <a:pt x="3730447" y="3723902"/>
                      <a:pt x="3710695" y="3722350"/>
                      <a:pt x="3707781" y="3707781"/>
                    </a:cubicBezTo>
                    <a:cubicBezTo>
                      <a:pt x="3705633" y="3697042"/>
                      <a:pt x="3710878" y="3686098"/>
                      <a:pt x="3712427" y="3675256"/>
                    </a:cubicBezTo>
                    <a:cubicBezTo>
                      <a:pt x="3710878" y="3667512"/>
                      <a:pt x="3714638" y="3655943"/>
                      <a:pt x="3707781" y="3652025"/>
                    </a:cubicBezTo>
                    <a:cubicBezTo>
                      <a:pt x="3694297" y="3644320"/>
                      <a:pt x="3675944" y="3659310"/>
                      <a:pt x="3665964" y="3665964"/>
                    </a:cubicBezTo>
                    <a:cubicBezTo>
                      <a:pt x="3658219" y="3689196"/>
                      <a:pt x="3665964" y="3678353"/>
                      <a:pt x="3633439" y="3689195"/>
                    </a:cubicBezTo>
                    <a:lnTo>
                      <a:pt x="3619500" y="3693842"/>
                    </a:lnTo>
                    <a:lnTo>
                      <a:pt x="3605561" y="3698488"/>
                    </a:lnTo>
                    <a:cubicBezTo>
                      <a:pt x="3586976" y="3696939"/>
                      <a:pt x="3568291" y="3696307"/>
                      <a:pt x="3549805" y="3693842"/>
                    </a:cubicBezTo>
                    <a:cubicBezTo>
                      <a:pt x="3544950" y="3693195"/>
                      <a:pt x="3539690" y="3692255"/>
                      <a:pt x="3535866" y="3689195"/>
                    </a:cubicBezTo>
                    <a:cubicBezTo>
                      <a:pt x="3531505" y="3685706"/>
                      <a:pt x="3530522" y="3679205"/>
                      <a:pt x="3526573" y="3675256"/>
                    </a:cubicBezTo>
                    <a:cubicBezTo>
                      <a:pt x="3522624" y="3671308"/>
                      <a:pt x="3517280" y="3669061"/>
                      <a:pt x="3512634" y="3665964"/>
                    </a:cubicBezTo>
                    <a:cubicBezTo>
                      <a:pt x="3511085" y="3661318"/>
                      <a:pt x="3511973" y="3654872"/>
                      <a:pt x="3507988" y="3652025"/>
                    </a:cubicBezTo>
                    <a:cubicBezTo>
                      <a:pt x="3500017" y="3646331"/>
                      <a:pt x="3480110" y="3642732"/>
                      <a:pt x="3480110" y="3642732"/>
                    </a:cubicBezTo>
                    <a:lnTo>
                      <a:pt x="3461525" y="3670610"/>
                    </a:lnTo>
                    <a:cubicBezTo>
                      <a:pt x="3449375" y="3688835"/>
                      <a:pt x="3466521" y="3714181"/>
                      <a:pt x="3470817" y="3735659"/>
                    </a:cubicBezTo>
                    <a:cubicBezTo>
                      <a:pt x="3478985" y="3776496"/>
                      <a:pt x="3469946" y="3775975"/>
                      <a:pt x="3494049" y="3796061"/>
                    </a:cubicBezTo>
                    <a:cubicBezTo>
                      <a:pt x="3498339" y="3799636"/>
                      <a:pt x="3503342" y="3802256"/>
                      <a:pt x="3507988" y="3805354"/>
                    </a:cubicBezTo>
                    <a:cubicBezTo>
                      <a:pt x="3506439" y="3811549"/>
                      <a:pt x="3506884" y="3818626"/>
                      <a:pt x="3503342" y="3823939"/>
                    </a:cubicBezTo>
                    <a:cubicBezTo>
                      <a:pt x="3492453" y="3840273"/>
                      <a:pt x="3476542" y="3831089"/>
                      <a:pt x="3461525" y="3828586"/>
                    </a:cubicBezTo>
                    <a:cubicBezTo>
                      <a:pt x="3418881" y="3814371"/>
                      <a:pt x="3443394" y="3818318"/>
                      <a:pt x="3387183" y="3823939"/>
                    </a:cubicBezTo>
                    <a:cubicBezTo>
                      <a:pt x="3380988" y="3825488"/>
                      <a:pt x="3374963" y="3828077"/>
                      <a:pt x="3368598" y="3828586"/>
                    </a:cubicBezTo>
                    <a:cubicBezTo>
                      <a:pt x="3253032" y="3837832"/>
                      <a:pt x="3303886" y="3822279"/>
                      <a:pt x="3257086" y="3837878"/>
                    </a:cubicBezTo>
                    <a:cubicBezTo>
                      <a:pt x="3252440" y="3840976"/>
                      <a:pt x="3248280" y="3844971"/>
                      <a:pt x="3243147" y="3847171"/>
                    </a:cubicBezTo>
                    <a:cubicBezTo>
                      <a:pt x="3237277" y="3849687"/>
                      <a:pt x="3230701" y="3850063"/>
                      <a:pt x="3224561" y="3851817"/>
                    </a:cubicBezTo>
                    <a:cubicBezTo>
                      <a:pt x="3219852" y="3853163"/>
                      <a:pt x="3215403" y="3855401"/>
                      <a:pt x="3210622" y="3856464"/>
                    </a:cubicBezTo>
                    <a:cubicBezTo>
                      <a:pt x="3201426" y="3858508"/>
                      <a:pt x="3191941" y="3859066"/>
                      <a:pt x="3182744" y="3861110"/>
                    </a:cubicBezTo>
                    <a:cubicBezTo>
                      <a:pt x="3177963" y="3862172"/>
                      <a:pt x="3173556" y="3864568"/>
                      <a:pt x="3168805" y="3865756"/>
                    </a:cubicBezTo>
                    <a:lnTo>
                      <a:pt x="3131634" y="3875049"/>
                    </a:lnTo>
                    <a:cubicBezTo>
                      <a:pt x="3123890" y="3873500"/>
                      <a:pt x="3115260" y="3874321"/>
                      <a:pt x="3108403" y="3870403"/>
                    </a:cubicBezTo>
                    <a:cubicBezTo>
                      <a:pt x="3103554" y="3867632"/>
                      <a:pt x="3103845" y="3859424"/>
                      <a:pt x="3099110" y="3856464"/>
                    </a:cubicBezTo>
                    <a:cubicBezTo>
                      <a:pt x="3090804" y="3851272"/>
                      <a:pt x="3071232" y="3847171"/>
                      <a:pt x="3071232" y="3847171"/>
                    </a:cubicBezTo>
                    <a:cubicBezTo>
                      <a:pt x="3054195" y="3848720"/>
                      <a:pt x="3036849" y="3848233"/>
                      <a:pt x="3020122" y="3851817"/>
                    </a:cubicBezTo>
                    <a:cubicBezTo>
                      <a:pt x="3014662" y="3852987"/>
                      <a:pt x="3011178" y="3858613"/>
                      <a:pt x="3006183" y="3861110"/>
                    </a:cubicBezTo>
                    <a:cubicBezTo>
                      <a:pt x="3001802" y="3863300"/>
                      <a:pt x="2996890" y="3864207"/>
                      <a:pt x="2992244" y="3865756"/>
                    </a:cubicBezTo>
                    <a:lnTo>
                      <a:pt x="2973659" y="3893634"/>
                    </a:lnTo>
                    <a:cubicBezTo>
                      <a:pt x="2970942" y="3897709"/>
                      <a:pt x="2972476" y="3904110"/>
                      <a:pt x="2969013" y="3907573"/>
                    </a:cubicBezTo>
                    <a:cubicBezTo>
                      <a:pt x="2961115" y="3915471"/>
                      <a:pt x="2941134" y="3926159"/>
                      <a:pt x="2941134" y="3926159"/>
                    </a:cubicBezTo>
                    <a:cubicBezTo>
                      <a:pt x="2934939" y="3924610"/>
                      <a:pt x="2922549" y="3927898"/>
                      <a:pt x="2922549" y="3921512"/>
                    </a:cubicBezTo>
                    <a:cubicBezTo>
                      <a:pt x="2922549" y="3896659"/>
                      <a:pt x="2939880" y="3894052"/>
                      <a:pt x="2955073" y="3888988"/>
                    </a:cubicBezTo>
                    <a:cubicBezTo>
                      <a:pt x="2953524" y="3882793"/>
                      <a:pt x="2954416" y="3875389"/>
                      <a:pt x="2950427" y="3870403"/>
                    </a:cubicBezTo>
                    <a:cubicBezTo>
                      <a:pt x="2947367" y="3866578"/>
                      <a:pt x="2940869" y="3867946"/>
                      <a:pt x="2936488" y="3865756"/>
                    </a:cubicBezTo>
                    <a:cubicBezTo>
                      <a:pt x="2900459" y="3847742"/>
                      <a:pt x="2943647" y="3863498"/>
                      <a:pt x="2908610" y="3851817"/>
                    </a:cubicBezTo>
                    <a:cubicBezTo>
                      <a:pt x="2902415" y="3853366"/>
                      <a:pt x="2896165" y="3854710"/>
                      <a:pt x="2890025" y="3856464"/>
                    </a:cubicBezTo>
                    <a:cubicBezTo>
                      <a:pt x="2885316" y="3857810"/>
                      <a:pt x="2880837" y="3859922"/>
                      <a:pt x="2876086" y="3861110"/>
                    </a:cubicBezTo>
                    <a:lnTo>
                      <a:pt x="2838915" y="3870403"/>
                    </a:lnTo>
                    <a:cubicBezTo>
                      <a:pt x="2834269" y="3875049"/>
                      <a:pt x="2830681" y="3881082"/>
                      <a:pt x="2824976" y="3884342"/>
                    </a:cubicBezTo>
                    <a:cubicBezTo>
                      <a:pt x="2817674" y="3888515"/>
                      <a:pt x="2775140" y="3893452"/>
                      <a:pt x="2773866" y="3893634"/>
                    </a:cubicBezTo>
                    <a:cubicBezTo>
                      <a:pt x="2769220" y="3896732"/>
                      <a:pt x="2764922" y="3900430"/>
                      <a:pt x="2759927" y="3902927"/>
                    </a:cubicBezTo>
                    <a:cubicBezTo>
                      <a:pt x="2740114" y="3912833"/>
                      <a:pt x="2729575" y="3905749"/>
                      <a:pt x="2704171" y="3902927"/>
                    </a:cubicBezTo>
                    <a:cubicBezTo>
                      <a:pt x="2699525" y="3899829"/>
                      <a:pt x="2694181" y="3897583"/>
                      <a:pt x="2690232" y="3893634"/>
                    </a:cubicBezTo>
                    <a:cubicBezTo>
                      <a:pt x="2686283" y="3889685"/>
                      <a:pt x="2685674" y="3882655"/>
                      <a:pt x="2680939" y="3879695"/>
                    </a:cubicBezTo>
                    <a:cubicBezTo>
                      <a:pt x="2672633" y="3874504"/>
                      <a:pt x="2653061" y="3870403"/>
                      <a:pt x="2653061" y="3870403"/>
                    </a:cubicBezTo>
                    <a:cubicBezTo>
                      <a:pt x="2631378" y="3871952"/>
                      <a:pt x="2609602" y="3872509"/>
                      <a:pt x="2588013" y="3875049"/>
                    </a:cubicBezTo>
                    <a:cubicBezTo>
                      <a:pt x="2583149" y="3875621"/>
                      <a:pt x="2577898" y="3876635"/>
                      <a:pt x="2574073" y="3879695"/>
                    </a:cubicBezTo>
                    <a:cubicBezTo>
                      <a:pt x="2544045" y="3903717"/>
                      <a:pt x="2585883" y="3886599"/>
                      <a:pt x="2550842" y="3898281"/>
                    </a:cubicBezTo>
                    <a:cubicBezTo>
                      <a:pt x="2538861" y="3896569"/>
                      <a:pt x="2517351" y="3895475"/>
                      <a:pt x="2504378" y="3888988"/>
                    </a:cubicBezTo>
                    <a:cubicBezTo>
                      <a:pt x="2499383" y="3886491"/>
                      <a:pt x="2495085" y="3882793"/>
                      <a:pt x="2490439" y="3879695"/>
                    </a:cubicBezTo>
                    <a:cubicBezTo>
                      <a:pt x="2488890" y="3875049"/>
                      <a:pt x="2490502" y="3867101"/>
                      <a:pt x="2485793" y="3865756"/>
                    </a:cubicBezTo>
                    <a:cubicBezTo>
                      <a:pt x="2466376" y="3860208"/>
                      <a:pt x="2445429" y="3863615"/>
                      <a:pt x="2425391" y="3861110"/>
                    </a:cubicBezTo>
                    <a:cubicBezTo>
                      <a:pt x="2420531" y="3860503"/>
                      <a:pt x="2416098" y="3858013"/>
                      <a:pt x="2411452" y="3856464"/>
                    </a:cubicBezTo>
                    <a:cubicBezTo>
                      <a:pt x="2409903" y="3851818"/>
                      <a:pt x="2406805" y="3847423"/>
                      <a:pt x="2406805" y="3842525"/>
                    </a:cubicBezTo>
                    <a:cubicBezTo>
                      <a:pt x="2406805" y="3825530"/>
                      <a:pt x="2421481" y="3830105"/>
                      <a:pt x="2402159" y="3814647"/>
                    </a:cubicBezTo>
                    <a:cubicBezTo>
                      <a:pt x="2398335" y="3811587"/>
                      <a:pt x="2392866" y="3811549"/>
                      <a:pt x="2388220" y="3810000"/>
                    </a:cubicBezTo>
                    <a:cubicBezTo>
                      <a:pt x="2374376" y="3789235"/>
                      <a:pt x="2369895" y="3787811"/>
                      <a:pt x="2364988" y="3768183"/>
                    </a:cubicBezTo>
                    <a:cubicBezTo>
                      <a:pt x="2363073" y="3760521"/>
                      <a:pt x="2363115" y="3752346"/>
                      <a:pt x="2360342" y="3744951"/>
                    </a:cubicBezTo>
                    <a:cubicBezTo>
                      <a:pt x="2358381" y="3739722"/>
                      <a:pt x="2355784" y="3733972"/>
                      <a:pt x="2351049" y="3731012"/>
                    </a:cubicBezTo>
                    <a:cubicBezTo>
                      <a:pt x="2342743" y="3725821"/>
                      <a:pt x="2323171" y="3721720"/>
                      <a:pt x="2323171" y="3721720"/>
                    </a:cubicBezTo>
                    <a:cubicBezTo>
                      <a:pt x="2320073" y="3717074"/>
                      <a:pt x="2310390" y="3712142"/>
                      <a:pt x="2313878" y="3707781"/>
                    </a:cubicBezTo>
                    <a:cubicBezTo>
                      <a:pt x="2319997" y="3700132"/>
                      <a:pt x="2341756" y="3698488"/>
                      <a:pt x="2341756" y="3698488"/>
                    </a:cubicBezTo>
                    <a:cubicBezTo>
                      <a:pt x="2344776" y="3689428"/>
                      <a:pt x="2352345" y="3675040"/>
                      <a:pt x="2341756" y="3665964"/>
                    </a:cubicBezTo>
                    <a:cubicBezTo>
                      <a:pt x="2334319" y="3659589"/>
                      <a:pt x="2313878" y="3656671"/>
                      <a:pt x="2313878" y="3656671"/>
                    </a:cubicBezTo>
                    <a:cubicBezTo>
                      <a:pt x="2300185" y="3636130"/>
                      <a:pt x="2302277" y="3646153"/>
                      <a:pt x="2309232" y="3614854"/>
                    </a:cubicBezTo>
                    <a:cubicBezTo>
                      <a:pt x="2310294" y="3610073"/>
                      <a:pt x="2310415" y="3604378"/>
                      <a:pt x="2313878" y="3600915"/>
                    </a:cubicBezTo>
                    <a:cubicBezTo>
                      <a:pt x="2317341" y="3597452"/>
                      <a:pt x="2323171" y="3597818"/>
                      <a:pt x="2327817" y="3596269"/>
                    </a:cubicBezTo>
                    <a:cubicBezTo>
                      <a:pt x="2320812" y="3554234"/>
                      <a:pt x="2329251" y="3581354"/>
                      <a:pt x="2313878" y="3554451"/>
                    </a:cubicBezTo>
                    <a:cubicBezTo>
                      <a:pt x="2310442" y="3548437"/>
                      <a:pt x="2309484" y="3540764"/>
                      <a:pt x="2304586" y="3535866"/>
                    </a:cubicBezTo>
                    <a:cubicBezTo>
                      <a:pt x="2296689" y="3527969"/>
                      <a:pt x="2276708" y="3517281"/>
                      <a:pt x="2276708" y="3517281"/>
                    </a:cubicBezTo>
                    <a:lnTo>
                      <a:pt x="2220952" y="3526573"/>
                    </a:lnTo>
                    <a:cubicBezTo>
                      <a:pt x="2214653" y="3527623"/>
                      <a:pt x="2208678" y="3530249"/>
                      <a:pt x="2202366" y="3531220"/>
                    </a:cubicBezTo>
                    <a:cubicBezTo>
                      <a:pt x="2188504" y="3533353"/>
                      <a:pt x="2174488" y="3534317"/>
                      <a:pt x="2160549" y="3535866"/>
                    </a:cubicBezTo>
                    <a:cubicBezTo>
                      <a:pt x="2157451" y="3540512"/>
                      <a:pt x="2150045" y="3544354"/>
                      <a:pt x="2151256" y="3549805"/>
                    </a:cubicBezTo>
                    <a:cubicBezTo>
                      <a:pt x="2153679" y="3560708"/>
                      <a:pt x="2169842" y="3577683"/>
                      <a:pt x="2169842" y="3577683"/>
                    </a:cubicBezTo>
                    <a:cubicBezTo>
                      <a:pt x="2168293" y="3582329"/>
                      <a:pt x="2168255" y="3587798"/>
                      <a:pt x="2165195" y="3591622"/>
                    </a:cubicBezTo>
                    <a:cubicBezTo>
                      <a:pt x="2158643" y="3599811"/>
                      <a:pt x="2146501" y="3602500"/>
                      <a:pt x="2137317" y="3605561"/>
                    </a:cubicBezTo>
                    <a:cubicBezTo>
                      <a:pt x="2132671" y="3604012"/>
                      <a:pt x="2126841" y="3604378"/>
                      <a:pt x="2123378" y="3600915"/>
                    </a:cubicBezTo>
                    <a:cubicBezTo>
                      <a:pt x="2100201" y="3577738"/>
                      <a:pt x="2141923" y="3594186"/>
                      <a:pt x="2104793" y="3577683"/>
                    </a:cubicBezTo>
                    <a:cubicBezTo>
                      <a:pt x="2095842" y="3573705"/>
                      <a:pt x="2076915" y="3568390"/>
                      <a:pt x="2076915" y="3568390"/>
                    </a:cubicBezTo>
                    <a:cubicBezTo>
                      <a:pt x="2078464" y="3590073"/>
                      <a:pt x="2076582" y="3612279"/>
                      <a:pt x="2081561" y="3633439"/>
                    </a:cubicBezTo>
                    <a:cubicBezTo>
                      <a:pt x="2083066" y="3639835"/>
                      <a:pt x="2091855" y="3641911"/>
                      <a:pt x="2095500" y="3647378"/>
                    </a:cubicBezTo>
                    <a:cubicBezTo>
                      <a:pt x="2122398" y="3687723"/>
                      <a:pt x="2069620" y="3630790"/>
                      <a:pt x="2114086" y="3675256"/>
                    </a:cubicBezTo>
                    <a:lnTo>
                      <a:pt x="2123378" y="3703134"/>
                    </a:lnTo>
                    <a:cubicBezTo>
                      <a:pt x="2125144" y="3708432"/>
                      <a:pt x="2133027" y="3708852"/>
                      <a:pt x="2137317" y="3712427"/>
                    </a:cubicBezTo>
                    <a:cubicBezTo>
                      <a:pt x="2142365" y="3716634"/>
                      <a:pt x="2146208" y="3722159"/>
                      <a:pt x="2151256" y="3726366"/>
                    </a:cubicBezTo>
                    <a:cubicBezTo>
                      <a:pt x="2155546" y="3729941"/>
                      <a:pt x="2160905" y="3732084"/>
                      <a:pt x="2165195" y="3735659"/>
                    </a:cubicBezTo>
                    <a:cubicBezTo>
                      <a:pt x="2210876" y="3773727"/>
                      <a:pt x="2151869" y="3726980"/>
                      <a:pt x="2188427" y="3763537"/>
                    </a:cubicBezTo>
                    <a:cubicBezTo>
                      <a:pt x="2192376" y="3767485"/>
                      <a:pt x="2197720" y="3769732"/>
                      <a:pt x="2202366" y="3772829"/>
                    </a:cubicBezTo>
                    <a:cubicBezTo>
                      <a:pt x="2187990" y="3777622"/>
                      <a:pt x="2176907" y="3782122"/>
                      <a:pt x="2160549" y="3782122"/>
                    </a:cubicBezTo>
                    <a:cubicBezTo>
                      <a:pt x="2149598" y="3782122"/>
                      <a:pt x="2138866" y="3779025"/>
                      <a:pt x="2128025" y="3777476"/>
                    </a:cubicBezTo>
                    <a:cubicBezTo>
                      <a:pt x="2123379" y="3775927"/>
                      <a:pt x="2117549" y="3769366"/>
                      <a:pt x="2114086" y="3772829"/>
                    </a:cubicBezTo>
                    <a:cubicBezTo>
                      <a:pt x="2100334" y="3786581"/>
                      <a:pt x="2107826" y="3813228"/>
                      <a:pt x="2100147" y="3828586"/>
                    </a:cubicBezTo>
                    <a:cubicBezTo>
                      <a:pt x="2097650" y="3833581"/>
                      <a:pt x="2090854" y="3834781"/>
                      <a:pt x="2086208" y="3837878"/>
                    </a:cubicBezTo>
                    <a:cubicBezTo>
                      <a:pt x="2084659" y="3842524"/>
                      <a:pt x="2082624" y="3847036"/>
                      <a:pt x="2081561" y="3851817"/>
                    </a:cubicBezTo>
                    <a:cubicBezTo>
                      <a:pt x="2079517" y="3861013"/>
                      <a:pt x="2084904" y="3874702"/>
                      <a:pt x="2076915" y="3879695"/>
                    </a:cubicBezTo>
                    <a:cubicBezTo>
                      <a:pt x="2067628" y="3885499"/>
                      <a:pt x="2055232" y="3876598"/>
                      <a:pt x="2044391" y="3875049"/>
                    </a:cubicBezTo>
                    <a:cubicBezTo>
                      <a:pt x="2039745" y="3871951"/>
                      <a:pt x="2035681" y="3867717"/>
                      <a:pt x="2030452" y="3865756"/>
                    </a:cubicBezTo>
                    <a:cubicBezTo>
                      <a:pt x="2023057" y="3862983"/>
                      <a:pt x="2013791" y="3865490"/>
                      <a:pt x="2007220" y="3861110"/>
                    </a:cubicBezTo>
                    <a:cubicBezTo>
                      <a:pt x="2003145" y="3858393"/>
                      <a:pt x="2004122" y="3851817"/>
                      <a:pt x="2002573" y="3847171"/>
                    </a:cubicBezTo>
                    <a:cubicBezTo>
                      <a:pt x="1999458" y="3828479"/>
                      <a:pt x="2001701" y="3818421"/>
                      <a:pt x="1988634" y="3805354"/>
                    </a:cubicBezTo>
                    <a:cubicBezTo>
                      <a:pt x="1984685" y="3801405"/>
                      <a:pt x="1979341" y="3799159"/>
                      <a:pt x="1974695" y="3796061"/>
                    </a:cubicBezTo>
                    <a:cubicBezTo>
                      <a:pt x="1973146" y="3791415"/>
                      <a:pt x="1970049" y="3787020"/>
                      <a:pt x="1970049" y="3782122"/>
                    </a:cubicBezTo>
                    <a:cubicBezTo>
                      <a:pt x="1970049" y="3777224"/>
                      <a:pt x="1970710" y="3771030"/>
                      <a:pt x="1974695" y="3768183"/>
                    </a:cubicBezTo>
                    <a:cubicBezTo>
                      <a:pt x="1989869" y="3757344"/>
                      <a:pt x="2030078" y="3755834"/>
                      <a:pt x="2044391" y="3754244"/>
                    </a:cubicBezTo>
                    <a:cubicBezTo>
                      <a:pt x="2039745" y="3749598"/>
                      <a:pt x="2036196" y="3743496"/>
                      <a:pt x="2030452" y="3740305"/>
                    </a:cubicBezTo>
                    <a:cubicBezTo>
                      <a:pt x="2021889" y="3735548"/>
                      <a:pt x="2011866" y="3734110"/>
                      <a:pt x="2002573" y="3731012"/>
                    </a:cubicBezTo>
                    <a:lnTo>
                      <a:pt x="1988634" y="3726366"/>
                    </a:lnTo>
                    <a:cubicBezTo>
                      <a:pt x="1983988" y="3724817"/>
                      <a:pt x="1979497" y="3722681"/>
                      <a:pt x="1974695" y="3721720"/>
                    </a:cubicBezTo>
                    <a:lnTo>
                      <a:pt x="1951464" y="3717073"/>
                    </a:lnTo>
                    <a:cubicBezTo>
                      <a:pt x="1946818" y="3712427"/>
                      <a:pt x="1941344" y="3708481"/>
                      <a:pt x="1937525" y="3703134"/>
                    </a:cubicBezTo>
                    <a:cubicBezTo>
                      <a:pt x="1933499" y="3697498"/>
                      <a:pt x="1930804" y="3690980"/>
                      <a:pt x="1928232" y="3684549"/>
                    </a:cubicBezTo>
                    <a:cubicBezTo>
                      <a:pt x="1915087" y="3651689"/>
                      <a:pt x="1922509" y="3665473"/>
                      <a:pt x="1914293" y="3638086"/>
                    </a:cubicBezTo>
                    <a:cubicBezTo>
                      <a:pt x="1911478" y="3628704"/>
                      <a:pt x="1914293" y="3613306"/>
                      <a:pt x="1905000" y="3610208"/>
                    </a:cubicBezTo>
                    <a:lnTo>
                      <a:pt x="1877122" y="3600915"/>
                    </a:lnTo>
                    <a:cubicBezTo>
                      <a:pt x="1865811" y="3566979"/>
                      <a:pt x="1870206" y="3582540"/>
                      <a:pt x="1863183" y="3554451"/>
                    </a:cubicBezTo>
                    <a:cubicBezTo>
                      <a:pt x="1861634" y="3520378"/>
                      <a:pt x="1861257" y="3486232"/>
                      <a:pt x="1858537" y="3452232"/>
                    </a:cubicBezTo>
                    <a:cubicBezTo>
                      <a:pt x="1858146" y="3447350"/>
                      <a:pt x="1857354" y="3441756"/>
                      <a:pt x="1853891" y="3438293"/>
                    </a:cubicBezTo>
                    <a:cubicBezTo>
                      <a:pt x="1850428" y="3434830"/>
                      <a:pt x="1844598" y="3435196"/>
                      <a:pt x="1839952" y="3433647"/>
                    </a:cubicBezTo>
                    <a:lnTo>
                      <a:pt x="1798134" y="3391829"/>
                    </a:lnTo>
                    <a:cubicBezTo>
                      <a:pt x="1794671" y="3388366"/>
                      <a:pt x="1788841" y="3388732"/>
                      <a:pt x="1784195" y="3387183"/>
                    </a:cubicBezTo>
                    <a:cubicBezTo>
                      <a:pt x="1781098" y="3382537"/>
                      <a:pt x="1779263" y="3376732"/>
                      <a:pt x="1774903" y="3373244"/>
                    </a:cubicBezTo>
                    <a:cubicBezTo>
                      <a:pt x="1771079" y="3370184"/>
                      <a:pt x="1765245" y="3370977"/>
                      <a:pt x="1760964" y="3368598"/>
                    </a:cubicBezTo>
                    <a:cubicBezTo>
                      <a:pt x="1751201" y="3363174"/>
                      <a:pt x="1742379" y="3356207"/>
                      <a:pt x="1733086" y="3350012"/>
                    </a:cubicBezTo>
                    <a:lnTo>
                      <a:pt x="1719147" y="3340720"/>
                    </a:lnTo>
                    <a:cubicBezTo>
                      <a:pt x="1714501" y="3337622"/>
                      <a:pt x="1710506" y="3333193"/>
                      <a:pt x="1705208" y="3331427"/>
                    </a:cubicBezTo>
                    <a:lnTo>
                      <a:pt x="1677330" y="3322134"/>
                    </a:lnTo>
                    <a:lnTo>
                      <a:pt x="1663391" y="3317488"/>
                    </a:lnTo>
                    <a:lnTo>
                      <a:pt x="1607634" y="3280317"/>
                    </a:lnTo>
                    <a:cubicBezTo>
                      <a:pt x="1603559" y="3277600"/>
                      <a:pt x="1598341" y="3277220"/>
                      <a:pt x="1593695" y="3275671"/>
                    </a:cubicBezTo>
                    <a:cubicBezTo>
                      <a:pt x="1592146" y="3271025"/>
                      <a:pt x="1590009" y="3266535"/>
                      <a:pt x="1589049" y="3261732"/>
                    </a:cubicBezTo>
                    <a:cubicBezTo>
                      <a:pt x="1585543" y="3244203"/>
                      <a:pt x="1589494" y="3227855"/>
                      <a:pt x="1575110" y="3215269"/>
                    </a:cubicBezTo>
                    <a:cubicBezTo>
                      <a:pt x="1566705" y="3207914"/>
                      <a:pt x="1547232" y="3196683"/>
                      <a:pt x="1547232" y="3196683"/>
                    </a:cubicBezTo>
                    <a:cubicBezTo>
                      <a:pt x="1547140" y="3196406"/>
                      <a:pt x="1538098" y="3165202"/>
                      <a:pt x="1533293" y="3168805"/>
                    </a:cubicBezTo>
                    <a:cubicBezTo>
                      <a:pt x="1525457" y="3174682"/>
                      <a:pt x="1533293" y="3193586"/>
                      <a:pt x="1524000" y="3196683"/>
                    </a:cubicBezTo>
                    <a:lnTo>
                      <a:pt x="1510061" y="3201329"/>
                    </a:lnTo>
                    <a:cubicBezTo>
                      <a:pt x="1498383" y="3166293"/>
                      <a:pt x="1515494" y="3208121"/>
                      <a:pt x="1491476" y="3178098"/>
                    </a:cubicBezTo>
                    <a:cubicBezTo>
                      <a:pt x="1488416" y="3174274"/>
                      <a:pt x="1488379" y="3168805"/>
                      <a:pt x="1486830" y="3164159"/>
                    </a:cubicBezTo>
                    <a:cubicBezTo>
                      <a:pt x="1494883" y="3158790"/>
                      <a:pt x="1524841" y="3144938"/>
                      <a:pt x="1496122" y="3126988"/>
                    </a:cubicBezTo>
                    <a:cubicBezTo>
                      <a:pt x="1492228" y="3124554"/>
                      <a:pt x="1453842" y="3133632"/>
                      <a:pt x="1445013" y="3136281"/>
                    </a:cubicBezTo>
                    <a:cubicBezTo>
                      <a:pt x="1435631" y="3139096"/>
                      <a:pt x="1417134" y="3145573"/>
                      <a:pt x="1417134" y="3145573"/>
                    </a:cubicBezTo>
                    <a:cubicBezTo>
                      <a:pt x="1415178" y="3148507"/>
                      <a:pt x="1400791" y="3167441"/>
                      <a:pt x="1403195" y="3173451"/>
                    </a:cubicBezTo>
                    <a:cubicBezTo>
                      <a:pt x="1405269" y="3178636"/>
                      <a:pt x="1412488" y="3179646"/>
                      <a:pt x="1417134" y="3182744"/>
                    </a:cubicBezTo>
                    <a:cubicBezTo>
                      <a:pt x="1418683" y="3201329"/>
                      <a:pt x="1416657" y="3220568"/>
                      <a:pt x="1421781" y="3238500"/>
                    </a:cubicBezTo>
                    <a:cubicBezTo>
                      <a:pt x="1423315" y="3243869"/>
                      <a:pt x="1431771" y="3243844"/>
                      <a:pt x="1435720" y="3247793"/>
                    </a:cubicBezTo>
                    <a:cubicBezTo>
                      <a:pt x="1456736" y="3268809"/>
                      <a:pt x="1431817" y="3257334"/>
                      <a:pt x="1458952" y="3266378"/>
                    </a:cubicBezTo>
                    <a:cubicBezTo>
                      <a:pt x="1463598" y="3271024"/>
                      <a:pt x="1469246" y="3274850"/>
                      <a:pt x="1472891" y="3280317"/>
                    </a:cubicBezTo>
                    <a:cubicBezTo>
                      <a:pt x="1478954" y="3289412"/>
                      <a:pt x="1481420" y="3323473"/>
                      <a:pt x="1482183" y="3326781"/>
                    </a:cubicBezTo>
                    <a:cubicBezTo>
                      <a:pt x="1488037" y="3352150"/>
                      <a:pt x="1489009" y="3350959"/>
                      <a:pt x="1500769" y="3368598"/>
                    </a:cubicBezTo>
                    <a:cubicBezTo>
                      <a:pt x="1507791" y="3396689"/>
                      <a:pt x="1503394" y="3381120"/>
                      <a:pt x="1514708" y="3415061"/>
                    </a:cubicBezTo>
                    <a:cubicBezTo>
                      <a:pt x="1516257" y="3419707"/>
                      <a:pt x="1515279" y="3426283"/>
                      <a:pt x="1519354" y="3429000"/>
                    </a:cubicBezTo>
                    <a:lnTo>
                      <a:pt x="1533293" y="3438293"/>
                    </a:lnTo>
                    <a:cubicBezTo>
                      <a:pt x="1536391" y="3442939"/>
                      <a:pt x="1538383" y="3448555"/>
                      <a:pt x="1542586" y="3452232"/>
                    </a:cubicBezTo>
                    <a:cubicBezTo>
                      <a:pt x="1550991" y="3459586"/>
                      <a:pt x="1570464" y="3470817"/>
                      <a:pt x="1570464" y="3470817"/>
                    </a:cubicBezTo>
                    <a:cubicBezTo>
                      <a:pt x="1581305" y="3469268"/>
                      <a:pt x="1592317" y="3468634"/>
                      <a:pt x="1602988" y="3466171"/>
                    </a:cubicBezTo>
                    <a:cubicBezTo>
                      <a:pt x="1612533" y="3463968"/>
                      <a:pt x="1630866" y="3456878"/>
                      <a:pt x="1630866" y="3456878"/>
                    </a:cubicBezTo>
                    <a:cubicBezTo>
                      <a:pt x="1633964" y="3461524"/>
                      <a:pt x="1638393" y="3465519"/>
                      <a:pt x="1640159" y="3470817"/>
                    </a:cubicBezTo>
                    <a:cubicBezTo>
                      <a:pt x="1643138" y="3479754"/>
                      <a:pt x="1638674" y="3491542"/>
                      <a:pt x="1644805" y="3498695"/>
                    </a:cubicBezTo>
                    <a:cubicBezTo>
                      <a:pt x="1649944" y="3504691"/>
                      <a:pt x="1660375" y="3501427"/>
                      <a:pt x="1668037" y="3503342"/>
                    </a:cubicBezTo>
                    <a:cubicBezTo>
                      <a:pt x="1672788" y="3504530"/>
                      <a:pt x="1677267" y="3506643"/>
                      <a:pt x="1681976" y="3507988"/>
                    </a:cubicBezTo>
                    <a:cubicBezTo>
                      <a:pt x="1688116" y="3509742"/>
                      <a:pt x="1694366" y="3511085"/>
                      <a:pt x="1700561" y="3512634"/>
                    </a:cubicBezTo>
                    <a:cubicBezTo>
                      <a:pt x="1732514" y="3533937"/>
                      <a:pt x="1717844" y="3527688"/>
                      <a:pt x="1742378" y="3535866"/>
                    </a:cubicBezTo>
                    <a:cubicBezTo>
                      <a:pt x="1782326" y="3562499"/>
                      <a:pt x="1731783" y="3530568"/>
                      <a:pt x="1770256" y="3549805"/>
                    </a:cubicBezTo>
                    <a:cubicBezTo>
                      <a:pt x="1775251" y="3552302"/>
                      <a:pt x="1779549" y="3556000"/>
                      <a:pt x="1784195" y="3559098"/>
                    </a:cubicBezTo>
                    <a:cubicBezTo>
                      <a:pt x="1787293" y="3563744"/>
                      <a:pt x="1789127" y="3569549"/>
                      <a:pt x="1793488" y="3573037"/>
                    </a:cubicBezTo>
                    <a:cubicBezTo>
                      <a:pt x="1816015" y="3591058"/>
                      <a:pt x="1801936" y="3561210"/>
                      <a:pt x="1812073" y="3591622"/>
                    </a:cubicBezTo>
                    <a:cubicBezTo>
                      <a:pt x="1798047" y="3600973"/>
                      <a:pt x="1799934" y="3605013"/>
                      <a:pt x="1784195" y="3596269"/>
                    </a:cubicBezTo>
                    <a:cubicBezTo>
                      <a:pt x="1774432" y="3590845"/>
                      <a:pt x="1756317" y="3577683"/>
                      <a:pt x="1756317" y="3577683"/>
                    </a:cubicBezTo>
                    <a:cubicBezTo>
                      <a:pt x="1753830" y="3577861"/>
                      <a:pt x="1685824" y="3565492"/>
                      <a:pt x="1681976" y="3596269"/>
                    </a:cubicBezTo>
                    <a:cubicBezTo>
                      <a:pt x="1681829" y="3597444"/>
                      <a:pt x="1689595" y="3634738"/>
                      <a:pt x="1691269" y="3638086"/>
                    </a:cubicBezTo>
                    <a:cubicBezTo>
                      <a:pt x="1696264" y="3648075"/>
                      <a:pt x="1709854" y="3665964"/>
                      <a:pt x="1709854" y="3665964"/>
                    </a:cubicBezTo>
                    <a:cubicBezTo>
                      <a:pt x="1711403" y="3670610"/>
                      <a:pt x="1715305" y="3675072"/>
                      <a:pt x="1714500" y="3679903"/>
                    </a:cubicBezTo>
                    <a:cubicBezTo>
                      <a:pt x="1712564" y="3691520"/>
                      <a:pt x="1699401" y="3697713"/>
                      <a:pt x="1691269" y="3703134"/>
                    </a:cubicBezTo>
                    <a:cubicBezTo>
                      <a:pt x="1688171" y="3707780"/>
                      <a:pt x="1685925" y="3713124"/>
                      <a:pt x="1681976" y="3717073"/>
                    </a:cubicBezTo>
                    <a:cubicBezTo>
                      <a:pt x="1678027" y="3721022"/>
                      <a:pt x="1671135" y="3721720"/>
                      <a:pt x="1668037" y="3726366"/>
                    </a:cubicBezTo>
                    <a:cubicBezTo>
                      <a:pt x="1664495" y="3731679"/>
                      <a:pt x="1665145" y="3738811"/>
                      <a:pt x="1663391" y="3744951"/>
                    </a:cubicBezTo>
                    <a:cubicBezTo>
                      <a:pt x="1662045" y="3749660"/>
                      <a:pt x="1663125" y="3756700"/>
                      <a:pt x="1658744" y="3758890"/>
                    </a:cubicBezTo>
                    <a:cubicBezTo>
                      <a:pt x="1648949" y="3763788"/>
                      <a:pt x="1637061" y="3761988"/>
                      <a:pt x="1626220" y="3763537"/>
                    </a:cubicBezTo>
                    <a:cubicBezTo>
                      <a:pt x="1621574" y="3766634"/>
                      <a:pt x="1615958" y="3768627"/>
                      <a:pt x="1612281" y="3772829"/>
                    </a:cubicBezTo>
                    <a:cubicBezTo>
                      <a:pt x="1604926" y="3781234"/>
                      <a:pt x="1593695" y="3800708"/>
                      <a:pt x="1593695" y="3800708"/>
                    </a:cubicBezTo>
                    <a:cubicBezTo>
                      <a:pt x="1605382" y="3818238"/>
                      <a:pt x="1622447" y="3829598"/>
                      <a:pt x="1607634" y="3851817"/>
                    </a:cubicBezTo>
                    <a:cubicBezTo>
                      <a:pt x="1604917" y="3855892"/>
                      <a:pt x="1598341" y="3854915"/>
                      <a:pt x="1593695" y="3856464"/>
                    </a:cubicBezTo>
                    <a:cubicBezTo>
                      <a:pt x="1589049" y="3851818"/>
                      <a:pt x="1583963" y="3847573"/>
                      <a:pt x="1579756" y="3842525"/>
                    </a:cubicBezTo>
                    <a:cubicBezTo>
                      <a:pt x="1576181" y="3838235"/>
                      <a:pt x="1574412" y="3832535"/>
                      <a:pt x="1570464" y="3828586"/>
                    </a:cubicBezTo>
                    <a:cubicBezTo>
                      <a:pt x="1566515" y="3824637"/>
                      <a:pt x="1561171" y="3822391"/>
                      <a:pt x="1556525" y="3819293"/>
                    </a:cubicBezTo>
                    <a:cubicBezTo>
                      <a:pt x="1553427" y="3814647"/>
                      <a:pt x="1551967" y="3808314"/>
                      <a:pt x="1547232" y="3805354"/>
                    </a:cubicBezTo>
                    <a:cubicBezTo>
                      <a:pt x="1538926" y="3800162"/>
                      <a:pt x="1529016" y="3797671"/>
                      <a:pt x="1519354" y="3796061"/>
                    </a:cubicBezTo>
                    <a:cubicBezTo>
                      <a:pt x="1483686" y="3790117"/>
                      <a:pt x="1500714" y="3793262"/>
                      <a:pt x="1468244" y="3786769"/>
                    </a:cubicBezTo>
                    <a:cubicBezTo>
                      <a:pt x="1502290" y="3764071"/>
                      <a:pt x="1461290" y="3788159"/>
                      <a:pt x="1537939" y="3772829"/>
                    </a:cubicBezTo>
                    <a:cubicBezTo>
                      <a:pt x="1543415" y="3771734"/>
                      <a:pt x="1546883" y="3766034"/>
                      <a:pt x="1551878" y="3763537"/>
                    </a:cubicBezTo>
                    <a:cubicBezTo>
                      <a:pt x="1556259" y="3761347"/>
                      <a:pt x="1561436" y="3761080"/>
                      <a:pt x="1565817" y="3758890"/>
                    </a:cubicBezTo>
                    <a:cubicBezTo>
                      <a:pt x="1570812" y="3756393"/>
                      <a:pt x="1574653" y="3751866"/>
                      <a:pt x="1579756" y="3749598"/>
                    </a:cubicBezTo>
                    <a:cubicBezTo>
                      <a:pt x="1588707" y="3745620"/>
                      <a:pt x="1607634" y="3740305"/>
                      <a:pt x="1607634" y="3740305"/>
                    </a:cubicBezTo>
                    <a:lnTo>
                      <a:pt x="1635513" y="3721720"/>
                    </a:lnTo>
                    <a:cubicBezTo>
                      <a:pt x="1644806" y="3715525"/>
                      <a:pt x="1654098" y="3693842"/>
                      <a:pt x="1654098" y="3693842"/>
                    </a:cubicBezTo>
                    <a:cubicBezTo>
                      <a:pt x="1650901" y="3677858"/>
                      <a:pt x="1649183" y="3667348"/>
                      <a:pt x="1644805" y="3652025"/>
                    </a:cubicBezTo>
                    <a:cubicBezTo>
                      <a:pt x="1643459" y="3647316"/>
                      <a:pt x="1642876" y="3642161"/>
                      <a:pt x="1640159" y="3638086"/>
                    </a:cubicBezTo>
                    <a:cubicBezTo>
                      <a:pt x="1636514" y="3632619"/>
                      <a:pt x="1631687" y="3627792"/>
                      <a:pt x="1626220" y="3624147"/>
                    </a:cubicBezTo>
                    <a:cubicBezTo>
                      <a:pt x="1622145" y="3621430"/>
                      <a:pt x="1616927" y="3621049"/>
                      <a:pt x="1612281" y="3619500"/>
                    </a:cubicBezTo>
                    <a:cubicBezTo>
                      <a:pt x="1600599" y="3584459"/>
                      <a:pt x="1617717" y="3626297"/>
                      <a:pt x="1593695" y="3596269"/>
                    </a:cubicBezTo>
                    <a:cubicBezTo>
                      <a:pt x="1568047" y="3564208"/>
                      <a:pt x="1615055" y="3599665"/>
                      <a:pt x="1575110" y="3573037"/>
                    </a:cubicBezTo>
                    <a:cubicBezTo>
                      <a:pt x="1564974" y="3542626"/>
                      <a:pt x="1579052" y="3572473"/>
                      <a:pt x="1556525" y="3554451"/>
                    </a:cubicBezTo>
                    <a:cubicBezTo>
                      <a:pt x="1552164" y="3550962"/>
                      <a:pt x="1550807" y="3544802"/>
                      <a:pt x="1547232" y="3540512"/>
                    </a:cubicBezTo>
                    <a:cubicBezTo>
                      <a:pt x="1543025" y="3535464"/>
                      <a:pt x="1537500" y="3531621"/>
                      <a:pt x="1533293" y="3526573"/>
                    </a:cubicBezTo>
                    <a:cubicBezTo>
                      <a:pt x="1529718" y="3522283"/>
                      <a:pt x="1528646" y="3515732"/>
                      <a:pt x="1524000" y="3512634"/>
                    </a:cubicBezTo>
                    <a:cubicBezTo>
                      <a:pt x="1521188" y="3510759"/>
                      <a:pt x="1482695" y="3503444"/>
                      <a:pt x="1482183" y="3503342"/>
                    </a:cubicBezTo>
                    <a:cubicBezTo>
                      <a:pt x="1468186" y="3494010"/>
                      <a:pt x="1466163" y="3491829"/>
                      <a:pt x="1449659" y="3484756"/>
                    </a:cubicBezTo>
                    <a:cubicBezTo>
                      <a:pt x="1445157" y="3482827"/>
                      <a:pt x="1440366" y="3481659"/>
                      <a:pt x="1435720" y="3480110"/>
                    </a:cubicBezTo>
                    <a:lnTo>
                      <a:pt x="1393903" y="3452232"/>
                    </a:lnTo>
                    <a:lnTo>
                      <a:pt x="1379964" y="3442939"/>
                    </a:lnTo>
                    <a:lnTo>
                      <a:pt x="1366025" y="3433647"/>
                    </a:lnTo>
                    <a:cubicBezTo>
                      <a:pt x="1364476" y="3429001"/>
                      <a:pt x="1363757" y="3423989"/>
                      <a:pt x="1361378" y="3419708"/>
                    </a:cubicBezTo>
                    <a:cubicBezTo>
                      <a:pt x="1361368" y="3419691"/>
                      <a:pt x="1338152" y="3384868"/>
                      <a:pt x="1333500" y="3377890"/>
                    </a:cubicBezTo>
                    <a:cubicBezTo>
                      <a:pt x="1330783" y="3373815"/>
                      <a:pt x="1324207" y="3374793"/>
                      <a:pt x="1319561" y="3373244"/>
                    </a:cubicBezTo>
                    <a:cubicBezTo>
                      <a:pt x="1316464" y="3368598"/>
                      <a:pt x="1314217" y="3363254"/>
                      <a:pt x="1310269" y="3359305"/>
                    </a:cubicBezTo>
                    <a:cubicBezTo>
                      <a:pt x="1306320" y="3355356"/>
                      <a:pt x="1299905" y="3354302"/>
                      <a:pt x="1296330" y="3350012"/>
                    </a:cubicBezTo>
                    <a:cubicBezTo>
                      <a:pt x="1291896" y="3344691"/>
                      <a:pt x="1290601" y="3337366"/>
                      <a:pt x="1287037" y="3331427"/>
                    </a:cubicBezTo>
                    <a:cubicBezTo>
                      <a:pt x="1281291" y="3321850"/>
                      <a:pt x="1274647" y="3312842"/>
                      <a:pt x="1268452" y="3303549"/>
                    </a:cubicBezTo>
                    <a:cubicBezTo>
                      <a:pt x="1265735" y="3299474"/>
                      <a:pt x="1266184" y="3293891"/>
                      <a:pt x="1263805" y="3289610"/>
                    </a:cubicBezTo>
                    <a:cubicBezTo>
                      <a:pt x="1253083" y="3270311"/>
                      <a:pt x="1249032" y="3261315"/>
                      <a:pt x="1231281" y="3252439"/>
                    </a:cubicBezTo>
                    <a:cubicBezTo>
                      <a:pt x="1226900" y="3250249"/>
                      <a:pt x="1221988" y="3249342"/>
                      <a:pt x="1217342" y="3247793"/>
                    </a:cubicBezTo>
                    <a:cubicBezTo>
                      <a:pt x="1198757" y="3249342"/>
                      <a:pt x="1179518" y="3247316"/>
                      <a:pt x="1161586" y="3252439"/>
                    </a:cubicBezTo>
                    <a:cubicBezTo>
                      <a:pt x="1156217" y="3253973"/>
                      <a:pt x="1157028" y="3263418"/>
                      <a:pt x="1152293" y="3266378"/>
                    </a:cubicBezTo>
                    <a:cubicBezTo>
                      <a:pt x="1152289" y="3266380"/>
                      <a:pt x="1117448" y="3277993"/>
                      <a:pt x="1110476" y="3280317"/>
                    </a:cubicBezTo>
                    <a:cubicBezTo>
                      <a:pt x="1108398" y="3281010"/>
                      <a:pt x="1107379" y="3283415"/>
                      <a:pt x="1105830" y="3284964"/>
                    </a:cubicBezTo>
                    <a:lnTo>
                      <a:pt x="1068659" y="3312842"/>
                    </a:lnTo>
                    <a:cubicBezTo>
                      <a:pt x="1057817" y="3320586"/>
                      <a:pt x="1045555" y="3326652"/>
                      <a:pt x="1036134" y="3336073"/>
                    </a:cubicBezTo>
                    <a:cubicBezTo>
                      <a:pt x="1032671" y="3339536"/>
                      <a:pt x="1036361" y="3349525"/>
                      <a:pt x="1031488" y="3350012"/>
                    </a:cubicBezTo>
                    <a:cubicBezTo>
                      <a:pt x="1002167" y="3352944"/>
                      <a:pt x="972635" y="3346915"/>
                      <a:pt x="943208" y="3345366"/>
                    </a:cubicBezTo>
                    <a:cubicBezTo>
                      <a:pt x="938562" y="3342268"/>
                      <a:pt x="934372" y="3338341"/>
                      <a:pt x="929269" y="3336073"/>
                    </a:cubicBezTo>
                    <a:cubicBezTo>
                      <a:pt x="920318" y="3332095"/>
                      <a:pt x="901391" y="3326781"/>
                      <a:pt x="901391" y="3326781"/>
                    </a:cubicBezTo>
                    <a:cubicBezTo>
                      <a:pt x="881257" y="3328330"/>
                      <a:pt x="860836" y="3327706"/>
                      <a:pt x="840988" y="3331427"/>
                    </a:cubicBezTo>
                    <a:cubicBezTo>
                      <a:pt x="835499" y="3332456"/>
                      <a:pt x="827967" y="3335212"/>
                      <a:pt x="827049" y="3340720"/>
                    </a:cubicBezTo>
                    <a:cubicBezTo>
                      <a:pt x="808434" y="3452415"/>
                      <a:pt x="856734" y="3431494"/>
                      <a:pt x="808464" y="3447586"/>
                    </a:cubicBezTo>
                    <a:cubicBezTo>
                      <a:pt x="805366" y="3452232"/>
                      <a:pt x="803532" y="3458037"/>
                      <a:pt x="799171" y="3461525"/>
                    </a:cubicBezTo>
                    <a:cubicBezTo>
                      <a:pt x="795347" y="3464584"/>
                      <a:pt x="789613" y="3463981"/>
                      <a:pt x="785232" y="3466171"/>
                    </a:cubicBezTo>
                    <a:cubicBezTo>
                      <a:pt x="780237" y="3468668"/>
                      <a:pt x="775939" y="3472366"/>
                      <a:pt x="771293" y="3475464"/>
                    </a:cubicBezTo>
                    <a:cubicBezTo>
                      <a:pt x="769744" y="3480110"/>
                      <a:pt x="770110" y="3485940"/>
                      <a:pt x="766647" y="3489403"/>
                    </a:cubicBezTo>
                    <a:cubicBezTo>
                      <a:pt x="763184" y="3492866"/>
                      <a:pt x="757089" y="3491859"/>
                      <a:pt x="752708" y="3494049"/>
                    </a:cubicBezTo>
                    <a:cubicBezTo>
                      <a:pt x="716680" y="3512063"/>
                      <a:pt x="759866" y="3496310"/>
                      <a:pt x="724830" y="3507988"/>
                    </a:cubicBezTo>
                    <a:cubicBezTo>
                      <a:pt x="716353" y="3520703"/>
                      <a:pt x="716270" y="3524699"/>
                      <a:pt x="701598" y="3531220"/>
                    </a:cubicBezTo>
                    <a:cubicBezTo>
                      <a:pt x="692647" y="3535198"/>
                      <a:pt x="673720" y="3540512"/>
                      <a:pt x="673720" y="3540512"/>
                    </a:cubicBezTo>
                    <a:lnTo>
                      <a:pt x="655134" y="3568390"/>
                    </a:lnTo>
                    <a:cubicBezTo>
                      <a:pt x="652037" y="3573036"/>
                      <a:pt x="650488" y="3579231"/>
                      <a:pt x="645842" y="3582329"/>
                    </a:cubicBezTo>
                    <a:lnTo>
                      <a:pt x="631903" y="3591622"/>
                    </a:lnTo>
                    <a:cubicBezTo>
                      <a:pt x="630354" y="3596268"/>
                      <a:pt x="629635" y="3601280"/>
                      <a:pt x="627256" y="3605561"/>
                    </a:cubicBezTo>
                    <a:cubicBezTo>
                      <a:pt x="621832" y="3615324"/>
                      <a:pt x="608671" y="3633439"/>
                      <a:pt x="608671" y="3633439"/>
                    </a:cubicBezTo>
                    <a:cubicBezTo>
                      <a:pt x="607122" y="3638085"/>
                      <a:pt x="604025" y="3642480"/>
                      <a:pt x="604025" y="3647378"/>
                    </a:cubicBezTo>
                    <a:cubicBezTo>
                      <a:pt x="604025" y="3667475"/>
                      <a:pt x="608350" y="3670128"/>
                      <a:pt x="617964" y="3684549"/>
                    </a:cubicBezTo>
                    <a:cubicBezTo>
                      <a:pt x="623685" y="3701714"/>
                      <a:pt x="628641" y="3709657"/>
                      <a:pt x="617964" y="3731012"/>
                    </a:cubicBezTo>
                    <a:cubicBezTo>
                      <a:pt x="615774" y="3735393"/>
                      <a:pt x="608406" y="3733469"/>
                      <a:pt x="604025" y="3735659"/>
                    </a:cubicBezTo>
                    <a:cubicBezTo>
                      <a:pt x="599030" y="3738156"/>
                      <a:pt x="594732" y="3741854"/>
                      <a:pt x="590086" y="3744951"/>
                    </a:cubicBezTo>
                    <a:lnTo>
                      <a:pt x="571500" y="3772829"/>
                    </a:lnTo>
                    <a:cubicBezTo>
                      <a:pt x="568783" y="3776904"/>
                      <a:pt x="569914" y="3782944"/>
                      <a:pt x="566854" y="3786769"/>
                    </a:cubicBezTo>
                    <a:cubicBezTo>
                      <a:pt x="563366" y="3791129"/>
                      <a:pt x="558018" y="3793793"/>
                      <a:pt x="552915" y="3796061"/>
                    </a:cubicBezTo>
                    <a:cubicBezTo>
                      <a:pt x="543964" y="3800039"/>
                      <a:pt x="525037" y="3805354"/>
                      <a:pt x="525037" y="3805354"/>
                    </a:cubicBezTo>
                    <a:cubicBezTo>
                      <a:pt x="523488" y="3810000"/>
                      <a:pt x="522770" y="3815012"/>
                      <a:pt x="520391" y="3819293"/>
                    </a:cubicBezTo>
                    <a:cubicBezTo>
                      <a:pt x="514967" y="3829056"/>
                      <a:pt x="511098" y="3840976"/>
                      <a:pt x="501805" y="3847171"/>
                    </a:cubicBezTo>
                    <a:cubicBezTo>
                      <a:pt x="497159" y="3850269"/>
                      <a:pt x="492861" y="3853967"/>
                      <a:pt x="487866" y="3856464"/>
                    </a:cubicBezTo>
                    <a:cubicBezTo>
                      <a:pt x="483485" y="3858654"/>
                      <a:pt x="478814" y="3860795"/>
                      <a:pt x="473927" y="3861110"/>
                    </a:cubicBezTo>
                    <a:cubicBezTo>
                      <a:pt x="430624" y="3863904"/>
                      <a:pt x="387196" y="3864207"/>
                      <a:pt x="343830" y="3865756"/>
                    </a:cubicBezTo>
                    <a:cubicBezTo>
                      <a:pt x="339184" y="3868854"/>
                      <a:pt x="334886" y="3872552"/>
                      <a:pt x="329891" y="3875049"/>
                    </a:cubicBezTo>
                    <a:cubicBezTo>
                      <a:pt x="325510" y="3877239"/>
                      <a:pt x="319776" y="3876636"/>
                      <a:pt x="315952" y="3879695"/>
                    </a:cubicBezTo>
                    <a:cubicBezTo>
                      <a:pt x="285925" y="3903716"/>
                      <a:pt x="327759" y="3886600"/>
                      <a:pt x="292720" y="3898281"/>
                    </a:cubicBezTo>
                    <a:cubicBezTo>
                      <a:pt x="289622" y="3902927"/>
                      <a:pt x="287788" y="3908732"/>
                      <a:pt x="283427" y="3912220"/>
                    </a:cubicBezTo>
                    <a:cubicBezTo>
                      <a:pt x="271595" y="3921686"/>
                      <a:pt x="253075" y="3914131"/>
                      <a:pt x="241610" y="3912220"/>
                    </a:cubicBezTo>
                    <a:cubicBezTo>
                      <a:pt x="238512" y="3907574"/>
                      <a:pt x="234814" y="3903276"/>
                      <a:pt x="232317" y="3898281"/>
                    </a:cubicBezTo>
                    <a:cubicBezTo>
                      <a:pt x="226056" y="3885758"/>
                      <a:pt x="230216" y="3880762"/>
                      <a:pt x="218378" y="3870403"/>
                    </a:cubicBezTo>
                    <a:cubicBezTo>
                      <a:pt x="209973" y="3863048"/>
                      <a:pt x="199793" y="3858012"/>
                      <a:pt x="190500" y="3851817"/>
                    </a:cubicBezTo>
                    <a:lnTo>
                      <a:pt x="162622" y="3833232"/>
                    </a:lnTo>
                    <a:cubicBezTo>
                      <a:pt x="158547" y="3830515"/>
                      <a:pt x="153329" y="3830135"/>
                      <a:pt x="148683" y="3828586"/>
                    </a:cubicBezTo>
                    <a:cubicBezTo>
                      <a:pt x="137842" y="3830135"/>
                      <a:pt x="126898" y="3831084"/>
                      <a:pt x="116159" y="3833232"/>
                    </a:cubicBezTo>
                    <a:cubicBezTo>
                      <a:pt x="111356" y="3834192"/>
                      <a:pt x="107118" y="3837878"/>
                      <a:pt x="102220" y="3837878"/>
                    </a:cubicBezTo>
                    <a:cubicBezTo>
                      <a:pt x="83570" y="3837878"/>
                      <a:pt x="65049" y="3834781"/>
                      <a:pt x="46464" y="3833232"/>
                    </a:cubicBezTo>
                    <a:cubicBezTo>
                      <a:pt x="48013" y="3817744"/>
                      <a:pt x="48242" y="3802067"/>
                      <a:pt x="51110" y="3786769"/>
                    </a:cubicBezTo>
                    <a:cubicBezTo>
                      <a:pt x="52915" y="3777141"/>
                      <a:pt x="60403" y="3758890"/>
                      <a:pt x="60403" y="3758890"/>
                    </a:cubicBezTo>
                    <a:cubicBezTo>
                      <a:pt x="52658" y="3735658"/>
                      <a:pt x="60403" y="3746501"/>
                      <a:pt x="27878" y="3735659"/>
                    </a:cubicBezTo>
                    <a:lnTo>
                      <a:pt x="13939" y="3731012"/>
                    </a:lnTo>
                    <a:cubicBezTo>
                      <a:pt x="12390" y="3724817"/>
                      <a:pt x="11128" y="3718543"/>
                      <a:pt x="9293" y="3712427"/>
                    </a:cubicBezTo>
                    <a:cubicBezTo>
                      <a:pt x="6478" y="3703045"/>
                      <a:pt x="0" y="3684549"/>
                      <a:pt x="0" y="3684549"/>
                    </a:cubicBezTo>
                    <a:cubicBezTo>
                      <a:pt x="8179" y="3660015"/>
                      <a:pt x="1931" y="3674684"/>
                      <a:pt x="23232" y="3642732"/>
                    </a:cubicBezTo>
                    <a:lnTo>
                      <a:pt x="32525" y="3628793"/>
                    </a:lnTo>
                    <a:lnTo>
                      <a:pt x="55756" y="3559098"/>
                    </a:lnTo>
                    <a:lnTo>
                      <a:pt x="60403" y="3545159"/>
                    </a:lnTo>
                    <a:lnTo>
                      <a:pt x="65049" y="3531220"/>
                    </a:lnTo>
                    <a:cubicBezTo>
                      <a:pt x="63500" y="3498696"/>
                      <a:pt x="63107" y="3466096"/>
                      <a:pt x="60403" y="3433647"/>
                    </a:cubicBezTo>
                    <a:cubicBezTo>
                      <a:pt x="59996" y="3428766"/>
                      <a:pt x="57946" y="3424089"/>
                      <a:pt x="55756" y="3419708"/>
                    </a:cubicBezTo>
                    <a:cubicBezTo>
                      <a:pt x="53259" y="3414713"/>
                      <a:pt x="48961" y="3410764"/>
                      <a:pt x="46464" y="3405769"/>
                    </a:cubicBezTo>
                    <a:cubicBezTo>
                      <a:pt x="37413" y="3387666"/>
                      <a:pt x="46114" y="3394110"/>
                      <a:pt x="37171" y="3373244"/>
                    </a:cubicBezTo>
                    <a:cubicBezTo>
                      <a:pt x="34971" y="3368111"/>
                      <a:pt x="30976" y="3363951"/>
                      <a:pt x="27878" y="3359305"/>
                    </a:cubicBezTo>
                    <a:cubicBezTo>
                      <a:pt x="29427" y="3350012"/>
                      <a:pt x="25435" y="3337631"/>
                      <a:pt x="32525" y="3331427"/>
                    </a:cubicBezTo>
                    <a:cubicBezTo>
                      <a:pt x="40767" y="3324216"/>
                      <a:pt x="54310" y="3328929"/>
                      <a:pt x="65049" y="3326781"/>
                    </a:cubicBezTo>
                    <a:cubicBezTo>
                      <a:pt x="69852" y="3325820"/>
                      <a:pt x="74342" y="3323683"/>
                      <a:pt x="78988" y="3322134"/>
                    </a:cubicBezTo>
                    <a:cubicBezTo>
                      <a:pt x="80537" y="3317488"/>
                      <a:pt x="79253" y="3310385"/>
                      <a:pt x="83634" y="3308195"/>
                    </a:cubicBezTo>
                    <a:cubicBezTo>
                      <a:pt x="91049" y="3304488"/>
                      <a:pt x="106977" y="3321665"/>
                      <a:pt x="111513" y="3322134"/>
                    </a:cubicBezTo>
                    <a:cubicBezTo>
                      <a:pt x="151597" y="3326281"/>
                      <a:pt x="192049" y="3325232"/>
                      <a:pt x="232317" y="3326781"/>
                    </a:cubicBezTo>
                    <a:cubicBezTo>
                      <a:pt x="241610" y="3328330"/>
                      <a:pt x="250839" y="3330326"/>
                      <a:pt x="260195" y="3331427"/>
                    </a:cubicBezTo>
                    <a:cubicBezTo>
                      <a:pt x="277185" y="3333426"/>
                      <a:pt x="294370" y="3333654"/>
                      <a:pt x="311305" y="3336073"/>
                    </a:cubicBezTo>
                    <a:cubicBezTo>
                      <a:pt x="316154" y="3336766"/>
                      <a:pt x="320535" y="3339374"/>
                      <a:pt x="325244" y="3340720"/>
                    </a:cubicBezTo>
                    <a:cubicBezTo>
                      <a:pt x="331384" y="3342474"/>
                      <a:pt x="337508" y="3344463"/>
                      <a:pt x="343830" y="3345366"/>
                    </a:cubicBezTo>
                    <a:cubicBezTo>
                      <a:pt x="359238" y="3347567"/>
                      <a:pt x="374805" y="3348463"/>
                      <a:pt x="390293" y="3350012"/>
                    </a:cubicBezTo>
                    <a:cubicBezTo>
                      <a:pt x="427464" y="3348463"/>
                      <a:pt x="464704" y="3348114"/>
                      <a:pt x="501805" y="3345366"/>
                    </a:cubicBezTo>
                    <a:cubicBezTo>
                      <a:pt x="506689" y="3345004"/>
                      <a:pt x="511363" y="3342910"/>
                      <a:pt x="515744" y="3340720"/>
                    </a:cubicBezTo>
                    <a:cubicBezTo>
                      <a:pt x="520739" y="3338223"/>
                      <a:pt x="525037" y="3334525"/>
                      <a:pt x="529683" y="3331427"/>
                    </a:cubicBezTo>
                    <a:cubicBezTo>
                      <a:pt x="531232" y="3326781"/>
                      <a:pt x="532984" y="3322197"/>
                      <a:pt x="534330" y="3317488"/>
                    </a:cubicBezTo>
                    <a:cubicBezTo>
                      <a:pt x="546006" y="3276623"/>
                      <a:pt x="532476" y="3318405"/>
                      <a:pt x="543622" y="3284964"/>
                    </a:cubicBezTo>
                    <a:cubicBezTo>
                      <a:pt x="545171" y="3255537"/>
                      <a:pt x="544758" y="3225941"/>
                      <a:pt x="548269" y="3196683"/>
                    </a:cubicBezTo>
                    <a:cubicBezTo>
                      <a:pt x="549436" y="3186958"/>
                      <a:pt x="557561" y="3168805"/>
                      <a:pt x="557561" y="3168805"/>
                    </a:cubicBezTo>
                    <a:cubicBezTo>
                      <a:pt x="556012" y="3150220"/>
                      <a:pt x="555380" y="3131535"/>
                      <a:pt x="552915" y="3113049"/>
                    </a:cubicBezTo>
                    <a:cubicBezTo>
                      <a:pt x="552268" y="3108194"/>
                      <a:pt x="551328" y="3102934"/>
                      <a:pt x="548269" y="3099110"/>
                    </a:cubicBezTo>
                    <a:cubicBezTo>
                      <a:pt x="544781" y="3094749"/>
                      <a:pt x="538976" y="3092915"/>
                      <a:pt x="534330" y="3089817"/>
                    </a:cubicBezTo>
                    <a:lnTo>
                      <a:pt x="506452" y="3048000"/>
                    </a:lnTo>
                    <a:cubicBezTo>
                      <a:pt x="501019" y="3039850"/>
                      <a:pt x="497159" y="3020122"/>
                      <a:pt x="497159" y="3020122"/>
                    </a:cubicBezTo>
                    <a:cubicBezTo>
                      <a:pt x="495610" y="3009281"/>
                      <a:pt x="496961" y="2997605"/>
                      <a:pt x="492513" y="2987598"/>
                    </a:cubicBezTo>
                    <a:cubicBezTo>
                      <a:pt x="487844" y="2977093"/>
                      <a:pt x="461648" y="2974920"/>
                      <a:pt x="455342" y="2973659"/>
                    </a:cubicBezTo>
                    <a:cubicBezTo>
                      <a:pt x="450696" y="2970561"/>
                      <a:pt x="446398" y="2966863"/>
                      <a:pt x="441403" y="2964366"/>
                    </a:cubicBezTo>
                    <a:cubicBezTo>
                      <a:pt x="428047" y="2957688"/>
                      <a:pt x="407775" y="2957212"/>
                      <a:pt x="394939" y="2955073"/>
                    </a:cubicBezTo>
                    <a:cubicBezTo>
                      <a:pt x="372511" y="2951335"/>
                      <a:pt x="375723" y="2951765"/>
                      <a:pt x="357769" y="2945781"/>
                    </a:cubicBezTo>
                    <a:cubicBezTo>
                      <a:pt x="353123" y="2942683"/>
                      <a:pt x="347319" y="2940849"/>
                      <a:pt x="343830" y="2936488"/>
                    </a:cubicBezTo>
                    <a:cubicBezTo>
                      <a:pt x="325808" y="2913961"/>
                      <a:pt x="355655" y="2928039"/>
                      <a:pt x="325244" y="2917903"/>
                    </a:cubicBezTo>
                    <a:cubicBezTo>
                      <a:pt x="320029" y="2886609"/>
                      <a:pt x="324811" y="2898451"/>
                      <a:pt x="315952" y="2880732"/>
                    </a:cubicBezTo>
                    <a:lnTo>
                      <a:pt x="413525" y="2852854"/>
                    </a:lnTo>
                    <a:lnTo>
                      <a:pt x="459988" y="2876086"/>
                    </a:lnTo>
                    <a:cubicBezTo>
                      <a:pt x="473911" y="2877633"/>
                      <a:pt x="508180" y="2885718"/>
                      <a:pt x="525037" y="2876086"/>
                    </a:cubicBezTo>
                    <a:cubicBezTo>
                      <a:pt x="529886" y="2873316"/>
                      <a:pt x="531232" y="2866793"/>
                      <a:pt x="534330" y="2862147"/>
                    </a:cubicBezTo>
                    <a:cubicBezTo>
                      <a:pt x="523271" y="2828971"/>
                      <a:pt x="533187" y="2839703"/>
                      <a:pt x="511098" y="2824976"/>
                    </a:cubicBezTo>
                    <a:lnTo>
                      <a:pt x="501805" y="2797098"/>
                    </a:lnTo>
                    <a:lnTo>
                      <a:pt x="497159" y="2783159"/>
                    </a:lnTo>
                    <a:cubicBezTo>
                      <a:pt x="498708" y="2778513"/>
                      <a:pt x="498342" y="2772683"/>
                      <a:pt x="501805" y="2769220"/>
                    </a:cubicBezTo>
                    <a:cubicBezTo>
                      <a:pt x="512311" y="2758714"/>
                      <a:pt x="549838" y="2768835"/>
                      <a:pt x="552915" y="2769220"/>
                    </a:cubicBezTo>
                    <a:cubicBezTo>
                      <a:pt x="556013" y="2773866"/>
                      <a:pt x="559711" y="2778164"/>
                      <a:pt x="562208" y="2783159"/>
                    </a:cubicBezTo>
                    <a:cubicBezTo>
                      <a:pt x="564398" y="2787540"/>
                      <a:pt x="562395" y="2795071"/>
                      <a:pt x="566854" y="2797098"/>
                    </a:cubicBezTo>
                    <a:cubicBezTo>
                      <a:pt x="577336" y="2801863"/>
                      <a:pt x="630077" y="2808785"/>
                      <a:pt x="645842" y="2811037"/>
                    </a:cubicBezTo>
                    <a:cubicBezTo>
                      <a:pt x="648939" y="2806391"/>
                      <a:pt x="652637" y="2802093"/>
                      <a:pt x="655134" y="2797098"/>
                    </a:cubicBezTo>
                    <a:cubicBezTo>
                      <a:pt x="661680" y="2784007"/>
                      <a:pt x="660789" y="2761141"/>
                      <a:pt x="678366" y="2755281"/>
                    </a:cubicBezTo>
                    <a:cubicBezTo>
                      <a:pt x="697602" y="2748868"/>
                      <a:pt x="688230" y="2753351"/>
                      <a:pt x="706244" y="2741342"/>
                    </a:cubicBezTo>
                    <a:lnTo>
                      <a:pt x="724830" y="2685586"/>
                    </a:lnTo>
                    <a:cubicBezTo>
                      <a:pt x="727328" y="2678094"/>
                      <a:pt x="727561" y="2670016"/>
                      <a:pt x="729476" y="2662354"/>
                    </a:cubicBezTo>
                    <a:cubicBezTo>
                      <a:pt x="730664" y="2657603"/>
                      <a:pt x="730659" y="2651878"/>
                      <a:pt x="734122" y="2648415"/>
                    </a:cubicBezTo>
                    <a:cubicBezTo>
                      <a:pt x="752138" y="2630398"/>
                      <a:pt x="767202" y="2628096"/>
                      <a:pt x="789878" y="2620537"/>
                    </a:cubicBezTo>
                    <a:lnTo>
                      <a:pt x="845634" y="2601951"/>
                    </a:lnTo>
                    <a:cubicBezTo>
                      <a:pt x="857750" y="2597912"/>
                      <a:pt x="870415" y="2595756"/>
                      <a:pt x="882805" y="2592659"/>
                    </a:cubicBezTo>
                    <a:cubicBezTo>
                      <a:pt x="887557" y="2591471"/>
                      <a:pt x="891963" y="2589075"/>
                      <a:pt x="896744" y="2588012"/>
                    </a:cubicBezTo>
                    <a:cubicBezTo>
                      <a:pt x="905940" y="2585968"/>
                      <a:pt x="915329" y="2584915"/>
                      <a:pt x="924622" y="2583366"/>
                    </a:cubicBezTo>
                    <a:cubicBezTo>
                      <a:pt x="919976" y="2580268"/>
                      <a:pt x="914632" y="2578022"/>
                      <a:pt x="910683" y="2574073"/>
                    </a:cubicBezTo>
                    <a:cubicBezTo>
                      <a:pt x="901678" y="2565067"/>
                      <a:pt x="900523" y="2557530"/>
                      <a:pt x="896744" y="2546195"/>
                    </a:cubicBezTo>
                    <a:lnTo>
                      <a:pt x="906037" y="2518317"/>
                    </a:lnTo>
                    <a:cubicBezTo>
                      <a:pt x="907586" y="2513671"/>
                      <a:pt x="907966" y="2508453"/>
                      <a:pt x="910683" y="2504378"/>
                    </a:cubicBezTo>
                    <a:lnTo>
                      <a:pt x="919976" y="2490439"/>
                    </a:lnTo>
                    <a:cubicBezTo>
                      <a:pt x="930818" y="2457915"/>
                      <a:pt x="919976" y="2465658"/>
                      <a:pt x="943208" y="2457915"/>
                    </a:cubicBezTo>
                    <a:cubicBezTo>
                      <a:pt x="958396" y="2503482"/>
                      <a:pt x="933772" y="2439115"/>
                      <a:pt x="961793" y="2481147"/>
                    </a:cubicBezTo>
                    <a:cubicBezTo>
                      <a:pt x="965335" y="2486460"/>
                      <a:pt x="964890" y="2493537"/>
                      <a:pt x="966439" y="2499732"/>
                    </a:cubicBezTo>
                    <a:cubicBezTo>
                      <a:pt x="964890" y="2487342"/>
                      <a:pt x="964027" y="2474846"/>
                      <a:pt x="961793" y="2462561"/>
                    </a:cubicBezTo>
                    <a:cubicBezTo>
                      <a:pt x="957830" y="2440763"/>
                      <a:pt x="951058" y="2454016"/>
                      <a:pt x="961793" y="2425390"/>
                    </a:cubicBezTo>
                    <a:cubicBezTo>
                      <a:pt x="965820" y="2414651"/>
                      <a:pt x="974803" y="2406702"/>
                      <a:pt x="985025" y="2402159"/>
                    </a:cubicBezTo>
                    <a:cubicBezTo>
                      <a:pt x="993976" y="2398181"/>
                      <a:pt x="1012903" y="2392866"/>
                      <a:pt x="1012903" y="2392866"/>
                    </a:cubicBezTo>
                    <a:lnTo>
                      <a:pt x="1040781" y="2402159"/>
                    </a:lnTo>
                    <a:lnTo>
                      <a:pt x="1054720" y="2406805"/>
                    </a:lnTo>
                    <a:cubicBezTo>
                      <a:pt x="1091889" y="2394416"/>
                      <a:pt x="1048527" y="2412999"/>
                      <a:pt x="1073305" y="2388220"/>
                    </a:cubicBezTo>
                    <a:cubicBezTo>
                      <a:pt x="1076768" y="2384757"/>
                      <a:pt x="1082863" y="2385763"/>
                      <a:pt x="1087244" y="2383573"/>
                    </a:cubicBezTo>
                    <a:cubicBezTo>
                      <a:pt x="1092239" y="2381076"/>
                      <a:pt x="1096537" y="2377378"/>
                      <a:pt x="1101183" y="2374281"/>
                    </a:cubicBezTo>
                    <a:cubicBezTo>
                      <a:pt x="1124748" y="2378994"/>
                      <a:pt x="1145982" y="2385597"/>
                      <a:pt x="1170878" y="2374281"/>
                    </a:cubicBezTo>
                    <a:cubicBezTo>
                      <a:pt x="1176692" y="2371638"/>
                      <a:pt x="1173976" y="2361890"/>
                      <a:pt x="1175525" y="2355695"/>
                    </a:cubicBezTo>
                    <a:cubicBezTo>
                      <a:pt x="1182932" y="2296437"/>
                      <a:pt x="1180403" y="2340114"/>
                      <a:pt x="1175525" y="2276708"/>
                    </a:cubicBezTo>
                    <a:cubicBezTo>
                      <a:pt x="1173502" y="2250411"/>
                      <a:pt x="1176600" y="2223467"/>
                      <a:pt x="1170878" y="2197720"/>
                    </a:cubicBezTo>
                    <a:cubicBezTo>
                      <a:pt x="1169816" y="2192939"/>
                      <a:pt x="1161320" y="2195263"/>
                      <a:pt x="1156939" y="2193073"/>
                    </a:cubicBezTo>
                    <a:cubicBezTo>
                      <a:pt x="1151944" y="2190576"/>
                      <a:pt x="1147646" y="2186878"/>
                      <a:pt x="1143000" y="2183781"/>
                    </a:cubicBezTo>
                    <a:cubicBezTo>
                      <a:pt x="1139903" y="2179135"/>
                      <a:pt x="1136205" y="2174837"/>
                      <a:pt x="1133708" y="2169842"/>
                    </a:cubicBezTo>
                    <a:cubicBezTo>
                      <a:pt x="1117668" y="2137761"/>
                      <a:pt x="1133059" y="2061795"/>
                      <a:pt x="1133708" y="2053683"/>
                    </a:cubicBezTo>
                    <a:cubicBezTo>
                      <a:pt x="1134605" y="2042474"/>
                      <a:pt x="1152240" y="2013432"/>
                      <a:pt x="1156939" y="2011866"/>
                    </a:cubicBezTo>
                    <a:cubicBezTo>
                      <a:pt x="1166232" y="2008768"/>
                      <a:pt x="1176667" y="2008006"/>
                      <a:pt x="1184817" y="2002573"/>
                    </a:cubicBezTo>
                    <a:cubicBezTo>
                      <a:pt x="1189463" y="1999476"/>
                      <a:pt x="1193653" y="1995549"/>
                      <a:pt x="1198756" y="1993281"/>
                    </a:cubicBezTo>
                    <a:cubicBezTo>
                      <a:pt x="1207707" y="1989303"/>
                      <a:pt x="1226634" y="1983988"/>
                      <a:pt x="1226634" y="1983988"/>
                    </a:cubicBezTo>
                    <a:cubicBezTo>
                      <a:pt x="1235927" y="1977793"/>
                      <a:pt x="1248318" y="1974696"/>
                      <a:pt x="1254513" y="1965403"/>
                    </a:cubicBezTo>
                    <a:cubicBezTo>
                      <a:pt x="1266522" y="1947389"/>
                      <a:pt x="1258508" y="1953230"/>
                      <a:pt x="1277744" y="1946817"/>
                    </a:cubicBezTo>
                    <a:cubicBezTo>
                      <a:pt x="1282390" y="1948366"/>
                      <a:pt x="1290722" y="1946661"/>
                      <a:pt x="1291683" y="1951464"/>
                    </a:cubicBezTo>
                    <a:cubicBezTo>
                      <a:pt x="1294434" y="1965216"/>
                      <a:pt x="1289787" y="1979529"/>
                      <a:pt x="1287037" y="1993281"/>
                    </a:cubicBezTo>
                    <a:cubicBezTo>
                      <a:pt x="1285116" y="2002886"/>
                      <a:pt x="1280842" y="2011866"/>
                      <a:pt x="1277744" y="2021159"/>
                    </a:cubicBezTo>
                    <a:lnTo>
                      <a:pt x="1273098" y="2035098"/>
                    </a:lnTo>
                    <a:lnTo>
                      <a:pt x="1268452" y="2049037"/>
                    </a:lnTo>
                    <a:lnTo>
                      <a:pt x="1263805" y="2062976"/>
                    </a:lnTo>
                    <a:cubicBezTo>
                      <a:pt x="1268451" y="2066074"/>
                      <a:pt x="1272749" y="2069772"/>
                      <a:pt x="1277744" y="2072269"/>
                    </a:cubicBezTo>
                    <a:cubicBezTo>
                      <a:pt x="1282125" y="2074459"/>
                      <a:pt x="1288220" y="2073452"/>
                      <a:pt x="1291683" y="2076915"/>
                    </a:cubicBezTo>
                    <a:cubicBezTo>
                      <a:pt x="1295146" y="2080378"/>
                      <a:pt x="1294781" y="2086208"/>
                      <a:pt x="1296330" y="2090854"/>
                    </a:cubicBezTo>
                    <a:cubicBezTo>
                      <a:pt x="1294781" y="2100147"/>
                      <a:pt x="1297086" y="2111014"/>
                      <a:pt x="1291683" y="2118732"/>
                    </a:cubicBezTo>
                    <a:cubicBezTo>
                      <a:pt x="1285278" y="2127881"/>
                      <a:pt x="1263805" y="2137317"/>
                      <a:pt x="1263805" y="2137317"/>
                    </a:cubicBezTo>
                    <a:cubicBezTo>
                      <a:pt x="1260708" y="2141963"/>
                      <a:pt x="1258088" y="2146966"/>
                      <a:pt x="1254513" y="2151256"/>
                    </a:cubicBezTo>
                    <a:cubicBezTo>
                      <a:pt x="1241664" y="2166675"/>
                      <a:pt x="1239936" y="2161825"/>
                      <a:pt x="1231281" y="2179134"/>
                    </a:cubicBezTo>
                    <a:cubicBezTo>
                      <a:pt x="1229091" y="2183515"/>
                      <a:pt x="1228183" y="2188427"/>
                      <a:pt x="1226634" y="2193073"/>
                    </a:cubicBezTo>
                    <a:cubicBezTo>
                      <a:pt x="1228183" y="2213207"/>
                      <a:pt x="1229453" y="2233365"/>
                      <a:pt x="1231281" y="2253476"/>
                    </a:cubicBezTo>
                    <a:cubicBezTo>
                      <a:pt x="1232551" y="2267443"/>
                      <a:pt x="1230718" y="2282271"/>
                      <a:pt x="1235927" y="2295293"/>
                    </a:cubicBezTo>
                    <a:cubicBezTo>
                      <a:pt x="1237746" y="2299840"/>
                      <a:pt x="1245220" y="2298390"/>
                      <a:pt x="1249866" y="2299939"/>
                    </a:cubicBezTo>
                    <a:lnTo>
                      <a:pt x="1277744" y="2318525"/>
                    </a:lnTo>
                    <a:cubicBezTo>
                      <a:pt x="1282390" y="2321622"/>
                      <a:pt x="1286175" y="2326899"/>
                      <a:pt x="1291683" y="2327817"/>
                    </a:cubicBezTo>
                    <a:lnTo>
                      <a:pt x="1319561" y="2332464"/>
                    </a:lnTo>
                    <a:cubicBezTo>
                      <a:pt x="1322659" y="2337110"/>
                      <a:pt x="1324493" y="2342915"/>
                      <a:pt x="1328854" y="2346403"/>
                    </a:cubicBezTo>
                    <a:cubicBezTo>
                      <a:pt x="1340284" y="2355546"/>
                      <a:pt x="1354118" y="2348784"/>
                      <a:pt x="1366025" y="2346403"/>
                    </a:cubicBezTo>
                    <a:cubicBezTo>
                      <a:pt x="1370671" y="2341757"/>
                      <a:pt x="1374220" y="2335655"/>
                      <a:pt x="1379964" y="2332464"/>
                    </a:cubicBezTo>
                    <a:cubicBezTo>
                      <a:pt x="1388527" y="2327707"/>
                      <a:pt x="1407842" y="2323171"/>
                      <a:pt x="1407842" y="2323171"/>
                    </a:cubicBezTo>
                    <a:cubicBezTo>
                      <a:pt x="1426427" y="2324720"/>
                      <a:pt x="1445629" y="2322825"/>
                      <a:pt x="1463598" y="2327817"/>
                    </a:cubicBezTo>
                    <a:cubicBezTo>
                      <a:pt x="1474359" y="2330806"/>
                      <a:pt x="1482183" y="2340208"/>
                      <a:pt x="1491476" y="2346403"/>
                    </a:cubicBezTo>
                    <a:lnTo>
                      <a:pt x="1505415" y="2355695"/>
                    </a:lnTo>
                    <a:cubicBezTo>
                      <a:pt x="1508513" y="2360341"/>
                      <a:pt x="1510347" y="2366145"/>
                      <a:pt x="1514708" y="2369634"/>
                    </a:cubicBezTo>
                    <a:cubicBezTo>
                      <a:pt x="1530287" y="2382098"/>
                      <a:pt x="1544992" y="2367228"/>
                      <a:pt x="1556525" y="2355695"/>
                    </a:cubicBezTo>
                    <a:cubicBezTo>
                      <a:pt x="1561171" y="2351049"/>
                      <a:pt x="1564759" y="2345016"/>
                      <a:pt x="1570464" y="2341756"/>
                    </a:cubicBezTo>
                    <a:cubicBezTo>
                      <a:pt x="1576008" y="2338588"/>
                      <a:pt x="1582909" y="2338864"/>
                      <a:pt x="1589049" y="2337110"/>
                    </a:cubicBezTo>
                    <a:cubicBezTo>
                      <a:pt x="1593758" y="2335765"/>
                      <a:pt x="1598342" y="2334013"/>
                      <a:pt x="1602988" y="2332464"/>
                    </a:cubicBezTo>
                    <a:cubicBezTo>
                      <a:pt x="1625077" y="2317737"/>
                      <a:pt x="1611629" y="2324937"/>
                      <a:pt x="1644805" y="2313878"/>
                    </a:cubicBezTo>
                    <a:cubicBezTo>
                      <a:pt x="1651376" y="2311688"/>
                      <a:pt x="1656960" y="2307158"/>
                      <a:pt x="1663391" y="2304586"/>
                    </a:cubicBezTo>
                    <a:cubicBezTo>
                      <a:pt x="1672486" y="2300948"/>
                      <a:pt x="1691269" y="2295293"/>
                      <a:pt x="1691269" y="2295293"/>
                    </a:cubicBezTo>
                    <a:cubicBezTo>
                      <a:pt x="1694366" y="2290647"/>
                      <a:pt x="1696201" y="2284842"/>
                      <a:pt x="1700561" y="2281354"/>
                    </a:cubicBezTo>
                    <a:cubicBezTo>
                      <a:pt x="1704385" y="2278294"/>
                      <a:pt x="1710119" y="2278898"/>
                      <a:pt x="1714500" y="2276708"/>
                    </a:cubicBezTo>
                    <a:cubicBezTo>
                      <a:pt x="1750528" y="2258694"/>
                      <a:pt x="1707342" y="2274447"/>
                      <a:pt x="1742378" y="2262769"/>
                    </a:cubicBezTo>
                    <a:cubicBezTo>
                      <a:pt x="1750122" y="2264318"/>
                      <a:pt x="1757991" y="2265337"/>
                      <a:pt x="1765610" y="2267415"/>
                    </a:cubicBezTo>
                    <a:cubicBezTo>
                      <a:pt x="1775060" y="2269992"/>
                      <a:pt x="1793488" y="2276708"/>
                      <a:pt x="1793488" y="2276708"/>
                    </a:cubicBezTo>
                    <a:cubicBezTo>
                      <a:pt x="1798134" y="2281354"/>
                      <a:pt x="1802379" y="2286440"/>
                      <a:pt x="1807427" y="2290647"/>
                    </a:cubicBezTo>
                    <a:cubicBezTo>
                      <a:pt x="1811717" y="2294222"/>
                      <a:pt x="1817417" y="2295991"/>
                      <a:pt x="1821366" y="2299939"/>
                    </a:cubicBezTo>
                    <a:cubicBezTo>
                      <a:pt x="1842384" y="2320956"/>
                      <a:pt x="1817460" y="2309478"/>
                      <a:pt x="1844598" y="2318525"/>
                    </a:cubicBezTo>
                    <a:cubicBezTo>
                      <a:pt x="1847696" y="2313879"/>
                      <a:pt x="1849530" y="2308075"/>
                      <a:pt x="1853891" y="2304586"/>
                    </a:cubicBezTo>
                    <a:cubicBezTo>
                      <a:pt x="1857715" y="2301526"/>
                      <a:pt x="1864367" y="2303402"/>
                      <a:pt x="1867830" y="2299939"/>
                    </a:cubicBezTo>
                    <a:cubicBezTo>
                      <a:pt x="1892608" y="2275160"/>
                      <a:pt x="1849246" y="2293743"/>
                      <a:pt x="1886415" y="2281354"/>
                    </a:cubicBezTo>
                    <a:cubicBezTo>
                      <a:pt x="1892841" y="2262075"/>
                      <a:pt x="1890980" y="2258148"/>
                      <a:pt x="1918939" y="2248829"/>
                    </a:cubicBezTo>
                    <a:lnTo>
                      <a:pt x="1946817" y="2239537"/>
                    </a:lnTo>
                    <a:lnTo>
                      <a:pt x="1960756" y="2234890"/>
                    </a:lnTo>
                    <a:cubicBezTo>
                      <a:pt x="1982059" y="2202937"/>
                      <a:pt x="1975810" y="2217607"/>
                      <a:pt x="1983988" y="2193073"/>
                    </a:cubicBezTo>
                    <a:cubicBezTo>
                      <a:pt x="1977891" y="2095522"/>
                      <a:pt x="1976261" y="2108418"/>
                      <a:pt x="1983988" y="1988634"/>
                    </a:cubicBezTo>
                    <a:cubicBezTo>
                      <a:pt x="1984303" y="1983747"/>
                      <a:pt x="1986444" y="1979076"/>
                      <a:pt x="1988634" y="1974695"/>
                    </a:cubicBezTo>
                    <a:cubicBezTo>
                      <a:pt x="1998314" y="1955336"/>
                      <a:pt x="2004898" y="1956109"/>
                      <a:pt x="2025805" y="1942171"/>
                    </a:cubicBezTo>
                    <a:lnTo>
                      <a:pt x="2039744" y="1932878"/>
                    </a:lnTo>
                    <a:cubicBezTo>
                      <a:pt x="2045939" y="1935976"/>
                      <a:pt x="2051963" y="1939443"/>
                      <a:pt x="2058330" y="1942171"/>
                    </a:cubicBezTo>
                    <a:cubicBezTo>
                      <a:pt x="2062832" y="1944100"/>
                      <a:pt x="2068445" y="1943757"/>
                      <a:pt x="2072269" y="1946817"/>
                    </a:cubicBezTo>
                    <a:cubicBezTo>
                      <a:pt x="2102295" y="1970838"/>
                      <a:pt x="2060461" y="1953722"/>
                      <a:pt x="2095500" y="1965403"/>
                    </a:cubicBezTo>
                    <a:cubicBezTo>
                      <a:pt x="2098598" y="1970049"/>
                      <a:pt x="2100844" y="1975393"/>
                      <a:pt x="2104793" y="1979342"/>
                    </a:cubicBezTo>
                    <a:cubicBezTo>
                      <a:pt x="2118106" y="1992654"/>
                      <a:pt x="2117558" y="1985725"/>
                      <a:pt x="2132671" y="1993281"/>
                    </a:cubicBezTo>
                    <a:cubicBezTo>
                      <a:pt x="2137666" y="1995778"/>
                      <a:pt x="2141964" y="1999476"/>
                      <a:pt x="2146610" y="2002573"/>
                    </a:cubicBezTo>
                    <a:cubicBezTo>
                      <a:pt x="2179134" y="1980890"/>
                      <a:pt x="2168293" y="1993281"/>
                      <a:pt x="2183781" y="1970049"/>
                    </a:cubicBezTo>
                    <a:lnTo>
                      <a:pt x="2193073" y="1942171"/>
                    </a:lnTo>
                    <a:cubicBezTo>
                      <a:pt x="2194622" y="1937525"/>
                      <a:pt x="2196760" y="1933035"/>
                      <a:pt x="2197720" y="1928232"/>
                    </a:cubicBezTo>
                    <a:lnTo>
                      <a:pt x="2202366" y="1905000"/>
                    </a:lnTo>
                    <a:cubicBezTo>
                      <a:pt x="2200817" y="1895707"/>
                      <a:pt x="2203924" y="1884212"/>
                      <a:pt x="2197720" y="1877122"/>
                    </a:cubicBezTo>
                    <a:cubicBezTo>
                      <a:pt x="2191270" y="1869750"/>
                      <a:pt x="2169842" y="1867829"/>
                      <a:pt x="2169842" y="1867829"/>
                    </a:cubicBezTo>
                    <a:cubicBezTo>
                      <a:pt x="2166744" y="1863183"/>
                      <a:pt x="2164910" y="1857378"/>
                      <a:pt x="2160549" y="1853890"/>
                    </a:cubicBezTo>
                    <a:cubicBezTo>
                      <a:pt x="2156725" y="1850831"/>
                      <a:pt x="2150073" y="1852707"/>
                      <a:pt x="2146610" y="1849244"/>
                    </a:cubicBezTo>
                    <a:cubicBezTo>
                      <a:pt x="2143147" y="1845781"/>
                      <a:pt x="2144154" y="1839686"/>
                      <a:pt x="2141964" y="1835305"/>
                    </a:cubicBezTo>
                    <a:cubicBezTo>
                      <a:pt x="2139467" y="1830310"/>
                      <a:pt x="2135769" y="1826012"/>
                      <a:pt x="2132671" y="1821366"/>
                    </a:cubicBezTo>
                    <a:cubicBezTo>
                      <a:pt x="2124194" y="1795933"/>
                      <a:pt x="2125755" y="1807107"/>
                      <a:pt x="2132671" y="1765610"/>
                    </a:cubicBezTo>
                    <a:cubicBezTo>
                      <a:pt x="2133476" y="1760779"/>
                      <a:pt x="2133854" y="1755134"/>
                      <a:pt x="2137317" y="1751671"/>
                    </a:cubicBezTo>
                    <a:cubicBezTo>
                      <a:pt x="2140780" y="1748208"/>
                      <a:pt x="2146610" y="1748574"/>
                      <a:pt x="2151256" y="1747025"/>
                    </a:cubicBezTo>
                    <a:cubicBezTo>
                      <a:pt x="2154354" y="1742379"/>
                      <a:pt x="2156259" y="1736661"/>
                      <a:pt x="2160549" y="1733086"/>
                    </a:cubicBezTo>
                    <a:cubicBezTo>
                      <a:pt x="2169666" y="1725489"/>
                      <a:pt x="2198345" y="1717389"/>
                      <a:pt x="2207013" y="1714500"/>
                    </a:cubicBezTo>
                    <a:lnTo>
                      <a:pt x="2220952" y="1709854"/>
                    </a:lnTo>
                    <a:lnTo>
                      <a:pt x="2304586" y="1714500"/>
                    </a:lnTo>
                    <a:cubicBezTo>
                      <a:pt x="2321652" y="1715677"/>
                      <a:pt x="2338588" y="1719147"/>
                      <a:pt x="2355695" y="1719147"/>
                    </a:cubicBezTo>
                    <a:cubicBezTo>
                      <a:pt x="2380524" y="1719147"/>
                      <a:pt x="2405256" y="1716049"/>
                      <a:pt x="2430037" y="1714500"/>
                    </a:cubicBezTo>
                    <a:cubicBezTo>
                      <a:pt x="2431586" y="1709854"/>
                      <a:pt x="2431623" y="1704385"/>
                      <a:pt x="2434683" y="1700561"/>
                    </a:cubicBezTo>
                    <a:cubicBezTo>
                      <a:pt x="2438171" y="1696201"/>
                      <a:pt x="2443489" y="1693469"/>
                      <a:pt x="2448622" y="1691269"/>
                    </a:cubicBezTo>
                    <a:cubicBezTo>
                      <a:pt x="2462710" y="1685232"/>
                      <a:pt x="2500621" y="1682910"/>
                      <a:pt x="2509025" y="1681976"/>
                    </a:cubicBezTo>
                    <a:cubicBezTo>
                      <a:pt x="2542200" y="1670917"/>
                      <a:pt x="2531470" y="1680833"/>
                      <a:pt x="2546195" y="1658744"/>
                    </a:cubicBezTo>
                    <a:cubicBezTo>
                      <a:pt x="2544646" y="1654098"/>
                      <a:pt x="2545534" y="1647652"/>
                      <a:pt x="2541549" y="1644805"/>
                    </a:cubicBezTo>
                    <a:cubicBezTo>
                      <a:pt x="2527504" y="1634773"/>
                      <a:pt x="2490656" y="1632635"/>
                      <a:pt x="2476500" y="1630866"/>
                    </a:cubicBezTo>
                    <a:lnTo>
                      <a:pt x="2448622" y="1621573"/>
                    </a:lnTo>
                    <a:cubicBezTo>
                      <a:pt x="2437926" y="1618007"/>
                      <a:pt x="2445306" y="1598610"/>
                      <a:pt x="2439330" y="1589049"/>
                    </a:cubicBezTo>
                    <a:cubicBezTo>
                      <a:pt x="2436734" y="1584896"/>
                      <a:pt x="2430037" y="1585952"/>
                      <a:pt x="2425391" y="1584403"/>
                    </a:cubicBezTo>
                    <a:cubicBezTo>
                      <a:pt x="2417647" y="1585952"/>
                      <a:pt x="2409821" y="1587134"/>
                      <a:pt x="2402159" y="1589049"/>
                    </a:cubicBezTo>
                    <a:cubicBezTo>
                      <a:pt x="2397408" y="1590237"/>
                      <a:pt x="2392945" y="1592406"/>
                      <a:pt x="2388220" y="1593695"/>
                    </a:cubicBezTo>
                    <a:cubicBezTo>
                      <a:pt x="2375898" y="1597055"/>
                      <a:pt x="2363439" y="1599890"/>
                      <a:pt x="2351049" y="1602988"/>
                    </a:cubicBezTo>
                    <a:cubicBezTo>
                      <a:pt x="2346298" y="1604176"/>
                      <a:pt x="2341891" y="1606572"/>
                      <a:pt x="2337110" y="1607634"/>
                    </a:cubicBezTo>
                    <a:cubicBezTo>
                      <a:pt x="2327913" y="1609678"/>
                      <a:pt x="2318470" y="1610433"/>
                      <a:pt x="2309232" y="1612281"/>
                    </a:cubicBezTo>
                    <a:cubicBezTo>
                      <a:pt x="2302970" y="1613533"/>
                      <a:pt x="2296787" y="1615173"/>
                      <a:pt x="2290647" y="1616927"/>
                    </a:cubicBezTo>
                    <a:cubicBezTo>
                      <a:pt x="2285938" y="1618272"/>
                      <a:pt x="2281489" y="1620511"/>
                      <a:pt x="2276708" y="1621573"/>
                    </a:cubicBezTo>
                    <a:cubicBezTo>
                      <a:pt x="2267511" y="1623617"/>
                      <a:pt x="2257970" y="1623935"/>
                      <a:pt x="2248830" y="1626220"/>
                    </a:cubicBezTo>
                    <a:cubicBezTo>
                      <a:pt x="2239327" y="1628596"/>
                      <a:pt x="2230245" y="1632415"/>
                      <a:pt x="2220952" y="1635512"/>
                    </a:cubicBezTo>
                    <a:cubicBezTo>
                      <a:pt x="2214894" y="1637531"/>
                      <a:pt x="2208561" y="1638610"/>
                      <a:pt x="2202366" y="1640159"/>
                    </a:cubicBezTo>
                    <a:cubicBezTo>
                      <a:pt x="2155115" y="1671659"/>
                      <a:pt x="2185632" y="1659487"/>
                      <a:pt x="2104793" y="1654098"/>
                    </a:cubicBezTo>
                    <a:cubicBezTo>
                      <a:pt x="2100147" y="1649452"/>
                      <a:pt x="2095061" y="1645207"/>
                      <a:pt x="2090854" y="1640159"/>
                    </a:cubicBezTo>
                    <a:cubicBezTo>
                      <a:pt x="2087279" y="1635869"/>
                      <a:pt x="2086296" y="1629180"/>
                      <a:pt x="2081561" y="1626220"/>
                    </a:cubicBezTo>
                    <a:cubicBezTo>
                      <a:pt x="2073255" y="1621028"/>
                      <a:pt x="2062976" y="1620025"/>
                      <a:pt x="2053683" y="1616927"/>
                    </a:cubicBezTo>
                    <a:lnTo>
                      <a:pt x="2039744" y="1612281"/>
                    </a:lnTo>
                    <a:cubicBezTo>
                      <a:pt x="2035098" y="1609183"/>
                      <a:pt x="2029754" y="1606937"/>
                      <a:pt x="2025805" y="1602988"/>
                    </a:cubicBezTo>
                    <a:cubicBezTo>
                      <a:pt x="2021857" y="1599039"/>
                      <a:pt x="2021159" y="1592146"/>
                      <a:pt x="2016513" y="1589049"/>
                    </a:cubicBezTo>
                    <a:cubicBezTo>
                      <a:pt x="2011200" y="1585507"/>
                      <a:pt x="2004122" y="1585952"/>
                      <a:pt x="1997927" y="1584403"/>
                    </a:cubicBezTo>
                    <a:cubicBezTo>
                      <a:pt x="1994273" y="1578922"/>
                      <a:pt x="1983072" y="1564770"/>
                      <a:pt x="1983988" y="1556525"/>
                    </a:cubicBezTo>
                    <a:cubicBezTo>
                      <a:pt x="1987413" y="1525705"/>
                      <a:pt x="1992200" y="1535455"/>
                      <a:pt x="2002573" y="1514708"/>
                    </a:cubicBezTo>
                    <a:cubicBezTo>
                      <a:pt x="2004763" y="1510327"/>
                      <a:pt x="2005671" y="1505415"/>
                      <a:pt x="2007220" y="1500769"/>
                    </a:cubicBezTo>
                    <a:cubicBezTo>
                      <a:pt x="2005671" y="1488379"/>
                      <a:pt x="2005858" y="1475645"/>
                      <a:pt x="2002573" y="1463598"/>
                    </a:cubicBezTo>
                    <a:cubicBezTo>
                      <a:pt x="2001104" y="1458211"/>
                      <a:pt x="1995778" y="1454654"/>
                      <a:pt x="1993281" y="1449659"/>
                    </a:cubicBezTo>
                    <a:cubicBezTo>
                      <a:pt x="1991091" y="1445278"/>
                      <a:pt x="1991351" y="1439795"/>
                      <a:pt x="1988634" y="1435720"/>
                    </a:cubicBezTo>
                    <a:cubicBezTo>
                      <a:pt x="1984989" y="1430253"/>
                      <a:pt x="1978902" y="1426829"/>
                      <a:pt x="1974695" y="1421781"/>
                    </a:cubicBezTo>
                    <a:cubicBezTo>
                      <a:pt x="1971120" y="1417491"/>
                      <a:pt x="1968500" y="1412488"/>
                      <a:pt x="1965403" y="1407842"/>
                    </a:cubicBezTo>
                    <a:cubicBezTo>
                      <a:pt x="1968500" y="1403196"/>
                      <a:pt x="1970335" y="1397391"/>
                      <a:pt x="1974695" y="1393903"/>
                    </a:cubicBezTo>
                    <a:cubicBezTo>
                      <a:pt x="1978519" y="1390843"/>
                      <a:pt x="1985787" y="1393241"/>
                      <a:pt x="1988634" y="1389256"/>
                    </a:cubicBezTo>
                    <a:cubicBezTo>
                      <a:pt x="1994327" y="1381285"/>
                      <a:pt x="1997927" y="1361378"/>
                      <a:pt x="1997927" y="1361378"/>
                    </a:cubicBezTo>
                    <a:cubicBezTo>
                      <a:pt x="1996378" y="1355183"/>
                      <a:pt x="1996449" y="1348337"/>
                      <a:pt x="1993281" y="1342793"/>
                    </a:cubicBezTo>
                    <a:cubicBezTo>
                      <a:pt x="1965434" y="1294060"/>
                      <a:pt x="1989206" y="1358441"/>
                      <a:pt x="1974695" y="1314915"/>
                    </a:cubicBezTo>
                    <a:cubicBezTo>
                      <a:pt x="1975397" y="1310701"/>
                      <a:pt x="1982139" y="1261324"/>
                      <a:pt x="1988634" y="1259159"/>
                    </a:cubicBezTo>
                    <a:lnTo>
                      <a:pt x="2002573" y="1254512"/>
                    </a:lnTo>
                    <a:cubicBezTo>
                      <a:pt x="2011620" y="1227375"/>
                      <a:pt x="2000142" y="1252297"/>
                      <a:pt x="2021159" y="1231281"/>
                    </a:cubicBezTo>
                    <a:cubicBezTo>
                      <a:pt x="2025108" y="1227332"/>
                      <a:pt x="2026877" y="1221632"/>
                      <a:pt x="2030452" y="1217342"/>
                    </a:cubicBezTo>
                    <a:cubicBezTo>
                      <a:pt x="2034659" y="1212294"/>
                      <a:pt x="2040184" y="1208451"/>
                      <a:pt x="2044391" y="1203403"/>
                    </a:cubicBezTo>
                    <a:cubicBezTo>
                      <a:pt x="2047966" y="1199113"/>
                      <a:pt x="2049481" y="1193141"/>
                      <a:pt x="2053683" y="1189464"/>
                    </a:cubicBezTo>
                    <a:cubicBezTo>
                      <a:pt x="2062088" y="1182109"/>
                      <a:pt x="2073664" y="1178775"/>
                      <a:pt x="2081561" y="1170878"/>
                    </a:cubicBezTo>
                    <a:cubicBezTo>
                      <a:pt x="2086207" y="1166232"/>
                      <a:pt x="2090033" y="1160584"/>
                      <a:pt x="2095500" y="1156939"/>
                    </a:cubicBezTo>
                    <a:cubicBezTo>
                      <a:pt x="2099575" y="1154222"/>
                      <a:pt x="2104793" y="1153842"/>
                      <a:pt x="2109439" y="1152293"/>
                    </a:cubicBezTo>
                    <a:cubicBezTo>
                      <a:pt x="2130223" y="1121118"/>
                      <a:pt x="2105739" y="1151662"/>
                      <a:pt x="2132671" y="1133708"/>
                    </a:cubicBezTo>
                    <a:cubicBezTo>
                      <a:pt x="2138138" y="1130063"/>
                      <a:pt x="2141562" y="1123976"/>
                      <a:pt x="2146610" y="1119769"/>
                    </a:cubicBezTo>
                    <a:cubicBezTo>
                      <a:pt x="2150900" y="1116194"/>
                      <a:pt x="2155903" y="1113574"/>
                      <a:pt x="2160549" y="1110476"/>
                    </a:cubicBezTo>
                    <a:cubicBezTo>
                      <a:pt x="2171595" y="1077335"/>
                      <a:pt x="2155933" y="1117399"/>
                      <a:pt x="2179134" y="1082598"/>
                    </a:cubicBezTo>
                    <a:cubicBezTo>
                      <a:pt x="2181851" y="1078523"/>
                      <a:pt x="2181591" y="1073040"/>
                      <a:pt x="2183781" y="1068659"/>
                    </a:cubicBezTo>
                    <a:cubicBezTo>
                      <a:pt x="2186278" y="1063664"/>
                      <a:pt x="2190805" y="1059823"/>
                      <a:pt x="2193073" y="1054720"/>
                    </a:cubicBezTo>
                    <a:cubicBezTo>
                      <a:pt x="2197051" y="1045769"/>
                      <a:pt x="2199268" y="1036135"/>
                      <a:pt x="2202366" y="1026842"/>
                    </a:cubicBezTo>
                    <a:cubicBezTo>
                      <a:pt x="2203915" y="1022196"/>
                      <a:pt x="2211924" y="1024385"/>
                      <a:pt x="2216305" y="1022195"/>
                    </a:cubicBezTo>
                    <a:cubicBezTo>
                      <a:pt x="2221300" y="1019698"/>
                      <a:pt x="2225598" y="1016000"/>
                      <a:pt x="2230244" y="1012903"/>
                    </a:cubicBezTo>
                    <a:cubicBezTo>
                      <a:pt x="2234943" y="1005855"/>
                      <a:pt x="2244183" y="994644"/>
                      <a:pt x="2244183" y="985025"/>
                    </a:cubicBezTo>
                    <a:cubicBezTo>
                      <a:pt x="2244183" y="978639"/>
                      <a:pt x="2241291" y="972579"/>
                      <a:pt x="2239537" y="966439"/>
                    </a:cubicBezTo>
                    <a:cubicBezTo>
                      <a:pt x="2234728" y="949607"/>
                      <a:pt x="2235780" y="953834"/>
                      <a:pt x="2225598" y="938561"/>
                    </a:cubicBezTo>
                    <a:cubicBezTo>
                      <a:pt x="2222500" y="929268"/>
                      <a:pt x="2221738" y="918833"/>
                      <a:pt x="2216305" y="910683"/>
                    </a:cubicBezTo>
                    <a:cubicBezTo>
                      <a:pt x="2213208" y="906037"/>
                      <a:pt x="2209510" y="901739"/>
                      <a:pt x="2207013" y="896744"/>
                    </a:cubicBezTo>
                    <a:cubicBezTo>
                      <a:pt x="2204823" y="892363"/>
                      <a:pt x="2206351" y="885652"/>
                      <a:pt x="2202366" y="882805"/>
                    </a:cubicBezTo>
                    <a:cubicBezTo>
                      <a:pt x="2194395" y="877112"/>
                      <a:pt x="2174488" y="873512"/>
                      <a:pt x="2174488" y="873512"/>
                    </a:cubicBezTo>
                    <a:cubicBezTo>
                      <a:pt x="2134220" y="875061"/>
                      <a:pt x="2093886" y="875386"/>
                      <a:pt x="2053683" y="878159"/>
                    </a:cubicBezTo>
                    <a:cubicBezTo>
                      <a:pt x="2048797" y="878496"/>
                      <a:pt x="2044025" y="880427"/>
                      <a:pt x="2039744" y="882805"/>
                    </a:cubicBezTo>
                    <a:cubicBezTo>
                      <a:pt x="2029981" y="888229"/>
                      <a:pt x="2011866" y="901390"/>
                      <a:pt x="2011866" y="901390"/>
                    </a:cubicBezTo>
                    <a:cubicBezTo>
                      <a:pt x="2001024" y="933915"/>
                      <a:pt x="2011866" y="926172"/>
                      <a:pt x="1988634" y="933915"/>
                    </a:cubicBezTo>
                    <a:cubicBezTo>
                      <a:pt x="1987085" y="938561"/>
                      <a:pt x="1983988" y="942956"/>
                      <a:pt x="1983988" y="947854"/>
                    </a:cubicBezTo>
                    <a:cubicBezTo>
                      <a:pt x="1983988" y="957473"/>
                      <a:pt x="1993228" y="968684"/>
                      <a:pt x="1997927" y="975732"/>
                    </a:cubicBezTo>
                    <a:cubicBezTo>
                      <a:pt x="1996378" y="986573"/>
                      <a:pt x="1995429" y="997517"/>
                      <a:pt x="1993281" y="1008256"/>
                    </a:cubicBezTo>
                    <a:cubicBezTo>
                      <a:pt x="1992320" y="1013059"/>
                      <a:pt x="1991694" y="1018371"/>
                      <a:pt x="1988634" y="1022195"/>
                    </a:cubicBezTo>
                    <a:cubicBezTo>
                      <a:pt x="1985145" y="1026556"/>
                      <a:pt x="1979341" y="1028390"/>
                      <a:pt x="1974695" y="1031488"/>
                    </a:cubicBezTo>
                    <a:cubicBezTo>
                      <a:pt x="1976244" y="1039232"/>
                      <a:pt x="1976569" y="1047325"/>
                      <a:pt x="1979342" y="1054720"/>
                    </a:cubicBezTo>
                    <a:cubicBezTo>
                      <a:pt x="1981303" y="1059949"/>
                      <a:pt x="1988170" y="1063094"/>
                      <a:pt x="1988634" y="1068659"/>
                    </a:cubicBezTo>
                    <a:cubicBezTo>
                      <a:pt x="1989799" y="1082635"/>
                      <a:pt x="1986293" y="1096642"/>
                      <a:pt x="1983988" y="1110476"/>
                    </a:cubicBezTo>
                    <a:cubicBezTo>
                      <a:pt x="1983183" y="1115307"/>
                      <a:pt x="1982401" y="1120591"/>
                      <a:pt x="1979342" y="1124415"/>
                    </a:cubicBezTo>
                    <a:cubicBezTo>
                      <a:pt x="1975854" y="1128776"/>
                      <a:pt x="1970049" y="1130610"/>
                      <a:pt x="1965403" y="1133708"/>
                    </a:cubicBezTo>
                    <a:cubicBezTo>
                      <a:pt x="1943719" y="1166232"/>
                      <a:pt x="1956110" y="1155391"/>
                      <a:pt x="1932878" y="1170878"/>
                    </a:cubicBezTo>
                    <a:cubicBezTo>
                      <a:pt x="1922742" y="1201289"/>
                      <a:pt x="1936820" y="1171442"/>
                      <a:pt x="1914293" y="1189464"/>
                    </a:cubicBezTo>
                    <a:cubicBezTo>
                      <a:pt x="1909932" y="1192953"/>
                      <a:pt x="1909361" y="1199915"/>
                      <a:pt x="1905000" y="1203403"/>
                    </a:cubicBezTo>
                    <a:cubicBezTo>
                      <a:pt x="1901970" y="1205827"/>
                      <a:pt x="1873690" y="1212392"/>
                      <a:pt x="1872476" y="1212695"/>
                    </a:cubicBezTo>
                    <a:cubicBezTo>
                      <a:pt x="1866281" y="1215793"/>
                      <a:pt x="1860376" y="1219556"/>
                      <a:pt x="1853891" y="1221988"/>
                    </a:cubicBezTo>
                    <a:cubicBezTo>
                      <a:pt x="1847912" y="1224230"/>
                      <a:pt x="1841445" y="1224880"/>
                      <a:pt x="1835305" y="1226634"/>
                    </a:cubicBezTo>
                    <a:cubicBezTo>
                      <a:pt x="1830596" y="1227980"/>
                      <a:pt x="1826012" y="1229732"/>
                      <a:pt x="1821366" y="1231281"/>
                    </a:cubicBezTo>
                    <a:cubicBezTo>
                      <a:pt x="1799684" y="1263805"/>
                      <a:pt x="1812074" y="1252964"/>
                      <a:pt x="1788842" y="1268451"/>
                    </a:cubicBezTo>
                    <a:cubicBezTo>
                      <a:pt x="1787293" y="1273097"/>
                      <a:pt x="1787658" y="1278927"/>
                      <a:pt x="1784195" y="1282390"/>
                    </a:cubicBezTo>
                    <a:cubicBezTo>
                      <a:pt x="1776298" y="1290287"/>
                      <a:pt x="1756317" y="1300976"/>
                      <a:pt x="1756317" y="1300976"/>
                    </a:cubicBezTo>
                    <a:cubicBezTo>
                      <a:pt x="1753220" y="1305622"/>
                      <a:pt x="1748791" y="1309617"/>
                      <a:pt x="1747025" y="1314915"/>
                    </a:cubicBezTo>
                    <a:cubicBezTo>
                      <a:pt x="1744046" y="1323852"/>
                      <a:pt x="1747052" y="1334613"/>
                      <a:pt x="1742378" y="1342793"/>
                    </a:cubicBezTo>
                    <a:cubicBezTo>
                      <a:pt x="1739948" y="1347045"/>
                      <a:pt x="1733085" y="1345890"/>
                      <a:pt x="1728439" y="1347439"/>
                    </a:cubicBezTo>
                    <a:cubicBezTo>
                      <a:pt x="1725342" y="1352085"/>
                      <a:pt x="1721644" y="1356383"/>
                      <a:pt x="1719147" y="1361378"/>
                    </a:cubicBezTo>
                    <a:cubicBezTo>
                      <a:pt x="1716957" y="1365759"/>
                      <a:pt x="1714891" y="1370435"/>
                      <a:pt x="1714500" y="1375317"/>
                    </a:cubicBezTo>
                    <a:cubicBezTo>
                      <a:pt x="1711780" y="1409317"/>
                      <a:pt x="1713488" y="1443623"/>
                      <a:pt x="1709854" y="1477537"/>
                    </a:cubicBezTo>
                    <a:cubicBezTo>
                      <a:pt x="1708810" y="1487277"/>
                      <a:pt x="1700561" y="1505415"/>
                      <a:pt x="1700561" y="1505415"/>
                    </a:cubicBezTo>
                    <a:cubicBezTo>
                      <a:pt x="1702110" y="1510061"/>
                      <a:pt x="1703862" y="1514645"/>
                      <a:pt x="1705208" y="1519354"/>
                    </a:cubicBezTo>
                    <a:cubicBezTo>
                      <a:pt x="1706962" y="1525494"/>
                      <a:pt x="1708019" y="1531823"/>
                      <a:pt x="1709854" y="1537939"/>
                    </a:cubicBezTo>
                    <a:cubicBezTo>
                      <a:pt x="1712669" y="1547321"/>
                      <a:pt x="1719147" y="1565817"/>
                      <a:pt x="1719147" y="1565817"/>
                    </a:cubicBezTo>
                    <a:cubicBezTo>
                      <a:pt x="1717598" y="1576659"/>
                      <a:pt x="1716648" y="1587603"/>
                      <a:pt x="1714500" y="1598342"/>
                    </a:cubicBezTo>
                    <a:cubicBezTo>
                      <a:pt x="1713539" y="1603145"/>
                      <a:pt x="1705051" y="1611321"/>
                      <a:pt x="1709854" y="1612281"/>
                    </a:cubicBezTo>
                    <a:cubicBezTo>
                      <a:pt x="1719459" y="1614202"/>
                      <a:pt x="1737732" y="1602988"/>
                      <a:pt x="1737732" y="1602988"/>
                    </a:cubicBezTo>
                    <a:cubicBezTo>
                      <a:pt x="1743927" y="1604537"/>
                      <a:pt x="1751004" y="1604092"/>
                      <a:pt x="1756317" y="1607634"/>
                    </a:cubicBezTo>
                    <a:cubicBezTo>
                      <a:pt x="1766305" y="1614293"/>
                      <a:pt x="1765617" y="1626234"/>
                      <a:pt x="1770256" y="1635512"/>
                    </a:cubicBezTo>
                    <a:cubicBezTo>
                      <a:pt x="1772753" y="1640507"/>
                      <a:pt x="1776451" y="1644805"/>
                      <a:pt x="1779549" y="1649451"/>
                    </a:cubicBezTo>
                    <a:cubicBezTo>
                      <a:pt x="1789685" y="1679862"/>
                      <a:pt x="1775607" y="1650015"/>
                      <a:pt x="1798134" y="1668037"/>
                    </a:cubicBezTo>
                    <a:cubicBezTo>
                      <a:pt x="1802495" y="1671526"/>
                      <a:pt x="1804329" y="1677330"/>
                      <a:pt x="1807427" y="1681976"/>
                    </a:cubicBezTo>
                    <a:cubicBezTo>
                      <a:pt x="1810173" y="1692960"/>
                      <a:pt x="1818044" y="1713176"/>
                      <a:pt x="1807427" y="1723793"/>
                    </a:cubicBezTo>
                    <a:cubicBezTo>
                      <a:pt x="1800501" y="1730719"/>
                      <a:pt x="1788842" y="1729988"/>
                      <a:pt x="1779549" y="1733086"/>
                    </a:cubicBezTo>
                    <a:lnTo>
                      <a:pt x="1765610" y="1737732"/>
                    </a:lnTo>
                    <a:cubicBezTo>
                      <a:pt x="1764061" y="1742378"/>
                      <a:pt x="1759415" y="1747025"/>
                      <a:pt x="1760964" y="1751671"/>
                    </a:cubicBezTo>
                    <a:cubicBezTo>
                      <a:pt x="1764496" y="1762266"/>
                      <a:pt x="1779549" y="1779549"/>
                      <a:pt x="1779549" y="1779549"/>
                    </a:cubicBezTo>
                    <a:cubicBezTo>
                      <a:pt x="1778000" y="1784195"/>
                      <a:pt x="1778366" y="1790025"/>
                      <a:pt x="1774903" y="1793488"/>
                    </a:cubicBezTo>
                    <a:cubicBezTo>
                      <a:pt x="1756890" y="1811501"/>
                      <a:pt x="1741819" y="1813809"/>
                      <a:pt x="1719147" y="1821366"/>
                    </a:cubicBezTo>
                    <a:lnTo>
                      <a:pt x="1705208" y="1826012"/>
                    </a:lnTo>
                    <a:lnTo>
                      <a:pt x="1691269" y="1830659"/>
                    </a:lnTo>
                    <a:cubicBezTo>
                      <a:pt x="1686623" y="1835305"/>
                      <a:pt x="1682797" y="1840953"/>
                      <a:pt x="1677330" y="1844598"/>
                    </a:cubicBezTo>
                    <a:cubicBezTo>
                      <a:pt x="1673255" y="1847315"/>
                      <a:pt x="1666854" y="1845781"/>
                      <a:pt x="1663391" y="1849244"/>
                    </a:cubicBezTo>
                    <a:cubicBezTo>
                      <a:pt x="1659928" y="1852707"/>
                      <a:pt x="1660293" y="1858537"/>
                      <a:pt x="1658744" y="1863183"/>
                    </a:cubicBezTo>
                    <a:cubicBezTo>
                      <a:pt x="1660293" y="1884866"/>
                      <a:pt x="1661115" y="1906613"/>
                      <a:pt x="1663391" y="1928232"/>
                    </a:cubicBezTo>
                    <a:cubicBezTo>
                      <a:pt x="1664218" y="1936086"/>
                      <a:pt x="1668037" y="1943567"/>
                      <a:pt x="1668037" y="1951464"/>
                    </a:cubicBezTo>
                    <a:cubicBezTo>
                      <a:pt x="1668037" y="1985572"/>
                      <a:pt x="1666007" y="2019675"/>
                      <a:pt x="1663391" y="2053683"/>
                    </a:cubicBezTo>
                    <a:cubicBezTo>
                      <a:pt x="1662659" y="2063195"/>
                      <a:pt x="1657678" y="2079627"/>
                      <a:pt x="1649452" y="2086208"/>
                    </a:cubicBezTo>
                    <a:cubicBezTo>
                      <a:pt x="1645628" y="2089268"/>
                      <a:pt x="1640159" y="2089305"/>
                      <a:pt x="1635513" y="2090854"/>
                    </a:cubicBezTo>
                    <a:cubicBezTo>
                      <a:pt x="1632415" y="2095500"/>
                      <a:pt x="1630169" y="2100844"/>
                      <a:pt x="1626220" y="2104793"/>
                    </a:cubicBezTo>
                    <a:cubicBezTo>
                      <a:pt x="1611741" y="2119272"/>
                      <a:pt x="1589051" y="2120280"/>
                      <a:pt x="1570464" y="2123378"/>
                    </a:cubicBezTo>
                    <a:cubicBezTo>
                      <a:pt x="1565818" y="2126476"/>
                      <a:pt x="1560202" y="2128468"/>
                      <a:pt x="1556525" y="2132671"/>
                    </a:cubicBezTo>
                    <a:cubicBezTo>
                      <a:pt x="1549170" y="2141076"/>
                      <a:pt x="1537939" y="2160549"/>
                      <a:pt x="1537939" y="2160549"/>
                    </a:cubicBezTo>
                    <a:cubicBezTo>
                      <a:pt x="1535149" y="2171710"/>
                      <a:pt x="1534028" y="2185050"/>
                      <a:pt x="1524000" y="2193073"/>
                    </a:cubicBezTo>
                    <a:cubicBezTo>
                      <a:pt x="1520176" y="2196133"/>
                      <a:pt x="1514707" y="2196171"/>
                      <a:pt x="1510061" y="2197720"/>
                    </a:cubicBezTo>
                    <a:cubicBezTo>
                      <a:pt x="1486829" y="2196171"/>
                      <a:pt x="1463507" y="2195644"/>
                      <a:pt x="1440366" y="2193073"/>
                    </a:cubicBezTo>
                    <a:cubicBezTo>
                      <a:pt x="1435498" y="2192532"/>
                      <a:pt x="1431258" y="2187622"/>
                      <a:pt x="1426427" y="2188427"/>
                    </a:cubicBezTo>
                    <a:cubicBezTo>
                      <a:pt x="1420919" y="2189345"/>
                      <a:pt x="1417134" y="2194622"/>
                      <a:pt x="1412488" y="2197720"/>
                    </a:cubicBezTo>
                    <a:cubicBezTo>
                      <a:pt x="1400810" y="2232756"/>
                      <a:pt x="1416563" y="2189570"/>
                      <a:pt x="1398549" y="2225598"/>
                    </a:cubicBezTo>
                    <a:cubicBezTo>
                      <a:pt x="1379312" y="2264071"/>
                      <a:pt x="1411243" y="2213528"/>
                      <a:pt x="1384610" y="2253476"/>
                    </a:cubicBezTo>
                    <a:cubicBezTo>
                      <a:pt x="1383061" y="2258122"/>
                      <a:pt x="1383788" y="2264356"/>
                      <a:pt x="1379964" y="2267415"/>
                    </a:cubicBezTo>
                    <a:cubicBezTo>
                      <a:pt x="1367519" y="2277371"/>
                      <a:pt x="1332022" y="2268392"/>
                      <a:pt x="1324208" y="2267415"/>
                    </a:cubicBezTo>
                    <a:cubicBezTo>
                      <a:pt x="1325757" y="2262769"/>
                      <a:pt x="1325795" y="2257300"/>
                      <a:pt x="1328854" y="2253476"/>
                    </a:cubicBezTo>
                    <a:cubicBezTo>
                      <a:pt x="1335405" y="2245287"/>
                      <a:pt x="1347549" y="2242598"/>
                      <a:pt x="1356732" y="2239537"/>
                    </a:cubicBezTo>
                    <a:cubicBezTo>
                      <a:pt x="1355183" y="2224049"/>
                      <a:pt x="1358408" y="2207297"/>
                      <a:pt x="1352086" y="2193073"/>
                    </a:cubicBezTo>
                    <a:cubicBezTo>
                      <a:pt x="1350097" y="2188597"/>
                      <a:pt x="1341207" y="2193896"/>
                      <a:pt x="1338147" y="2197720"/>
                    </a:cubicBezTo>
                    <a:cubicBezTo>
                      <a:pt x="1334158" y="2202706"/>
                      <a:pt x="1335254" y="2210165"/>
                      <a:pt x="1333500" y="2216305"/>
                    </a:cubicBezTo>
                    <a:cubicBezTo>
                      <a:pt x="1332154" y="2221014"/>
                      <a:pt x="1332839" y="2227397"/>
                      <a:pt x="1328854" y="2230244"/>
                    </a:cubicBezTo>
                    <a:cubicBezTo>
                      <a:pt x="1320883" y="2235938"/>
                      <a:pt x="1300976" y="2239537"/>
                      <a:pt x="1300976" y="2239537"/>
                    </a:cubicBezTo>
                    <a:cubicBezTo>
                      <a:pt x="1271080" y="2224588"/>
                      <a:pt x="1279129" y="2235879"/>
                      <a:pt x="1287037" y="2188427"/>
                    </a:cubicBezTo>
                    <a:cubicBezTo>
                      <a:pt x="1287842" y="2183596"/>
                      <a:pt x="1287136" y="2176307"/>
                      <a:pt x="1291683" y="2174488"/>
                    </a:cubicBezTo>
                    <a:cubicBezTo>
                      <a:pt x="1304705" y="2169279"/>
                      <a:pt x="1319561" y="2171391"/>
                      <a:pt x="1333500" y="2169842"/>
                    </a:cubicBezTo>
                    <a:cubicBezTo>
                      <a:pt x="1335049" y="2154354"/>
                      <a:pt x="1332828" y="2138006"/>
                      <a:pt x="1338147" y="2123378"/>
                    </a:cubicBezTo>
                    <a:cubicBezTo>
                      <a:pt x="1339821" y="2118775"/>
                      <a:pt x="1347255" y="2119537"/>
                      <a:pt x="1352086" y="2118732"/>
                    </a:cubicBezTo>
                    <a:cubicBezTo>
                      <a:pt x="1365920" y="2116427"/>
                      <a:pt x="1379964" y="2115635"/>
                      <a:pt x="1393903" y="2114086"/>
                    </a:cubicBezTo>
                    <a:cubicBezTo>
                      <a:pt x="1409018" y="2109047"/>
                      <a:pt x="1409824" y="2111948"/>
                      <a:pt x="1417134" y="2095500"/>
                    </a:cubicBezTo>
                    <a:cubicBezTo>
                      <a:pt x="1421112" y="2086549"/>
                      <a:pt x="1426427" y="2067622"/>
                      <a:pt x="1426427" y="2067622"/>
                    </a:cubicBezTo>
                    <a:cubicBezTo>
                      <a:pt x="1424878" y="2058329"/>
                      <a:pt x="1424760" y="2048681"/>
                      <a:pt x="1421781" y="2039744"/>
                    </a:cubicBezTo>
                    <a:cubicBezTo>
                      <a:pt x="1417936" y="2028209"/>
                      <a:pt x="1405737" y="2020492"/>
                      <a:pt x="1398549" y="2011866"/>
                    </a:cubicBezTo>
                    <a:cubicBezTo>
                      <a:pt x="1394974" y="2007576"/>
                      <a:pt x="1392354" y="2002573"/>
                      <a:pt x="1389256" y="1997927"/>
                    </a:cubicBezTo>
                    <a:lnTo>
                      <a:pt x="1379964" y="1970049"/>
                    </a:lnTo>
                    <a:cubicBezTo>
                      <a:pt x="1377467" y="1962557"/>
                      <a:pt x="1378090" y="1954212"/>
                      <a:pt x="1375317" y="1946817"/>
                    </a:cubicBezTo>
                    <a:cubicBezTo>
                      <a:pt x="1373356" y="1941588"/>
                      <a:pt x="1368795" y="1937726"/>
                      <a:pt x="1366025" y="1932878"/>
                    </a:cubicBezTo>
                    <a:cubicBezTo>
                      <a:pt x="1362589" y="1926864"/>
                      <a:pt x="1359830" y="1920488"/>
                      <a:pt x="1356732" y="1914293"/>
                    </a:cubicBezTo>
                    <a:cubicBezTo>
                      <a:pt x="1355183" y="1908098"/>
                      <a:pt x="1354601" y="1901577"/>
                      <a:pt x="1352086" y="1895708"/>
                    </a:cubicBezTo>
                    <a:cubicBezTo>
                      <a:pt x="1349886" y="1890575"/>
                      <a:pt x="1345290" y="1886764"/>
                      <a:pt x="1342793" y="1881769"/>
                    </a:cubicBezTo>
                    <a:cubicBezTo>
                      <a:pt x="1340603" y="1877388"/>
                      <a:pt x="1339696" y="1872476"/>
                      <a:pt x="1338147" y="1867829"/>
                    </a:cubicBezTo>
                    <a:cubicBezTo>
                      <a:pt x="1339696" y="1847695"/>
                      <a:pt x="1340288" y="1827465"/>
                      <a:pt x="1342793" y="1807427"/>
                    </a:cubicBezTo>
                    <a:cubicBezTo>
                      <a:pt x="1343400" y="1802567"/>
                      <a:pt x="1348132" y="1798336"/>
                      <a:pt x="1347439" y="1793488"/>
                    </a:cubicBezTo>
                    <a:cubicBezTo>
                      <a:pt x="1346460" y="1786631"/>
                      <a:pt x="1341710" y="1780842"/>
                      <a:pt x="1338147" y="1774903"/>
                    </a:cubicBezTo>
                    <a:cubicBezTo>
                      <a:pt x="1332401" y="1765326"/>
                      <a:pt x="1319561" y="1747025"/>
                      <a:pt x="1319561" y="1747025"/>
                    </a:cubicBezTo>
                    <a:cubicBezTo>
                      <a:pt x="1308503" y="1713849"/>
                      <a:pt x="1315703" y="1727297"/>
                      <a:pt x="1300976" y="1705208"/>
                    </a:cubicBezTo>
                    <a:cubicBezTo>
                      <a:pt x="1296330" y="1708305"/>
                      <a:pt x="1290134" y="1709854"/>
                      <a:pt x="1287037" y="1714500"/>
                    </a:cubicBezTo>
                    <a:cubicBezTo>
                      <a:pt x="1283495" y="1719813"/>
                      <a:pt x="1284226" y="1726969"/>
                      <a:pt x="1282391" y="1733086"/>
                    </a:cubicBezTo>
                    <a:cubicBezTo>
                      <a:pt x="1279576" y="1742468"/>
                      <a:pt x="1278532" y="1752814"/>
                      <a:pt x="1273098" y="1760964"/>
                    </a:cubicBezTo>
                    <a:cubicBezTo>
                      <a:pt x="1270000" y="1765610"/>
                      <a:pt x="1268540" y="1771943"/>
                      <a:pt x="1263805" y="1774903"/>
                    </a:cubicBezTo>
                    <a:cubicBezTo>
                      <a:pt x="1255499" y="1780094"/>
                      <a:pt x="1235927" y="1784195"/>
                      <a:pt x="1235927" y="1784195"/>
                    </a:cubicBezTo>
                    <a:cubicBezTo>
                      <a:pt x="1234378" y="1788841"/>
                      <a:pt x="1233998" y="1794059"/>
                      <a:pt x="1231281" y="1798134"/>
                    </a:cubicBezTo>
                    <a:cubicBezTo>
                      <a:pt x="1221337" y="1813050"/>
                      <a:pt x="1218016" y="1811848"/>
                      <a:pt x="1203403" y="1816720"/>
                    </a:cubicBezTo>
                    <a:cubicBezTo>
                      <a:pt x="1186365" y="1842276"/>
                      <a:pt x="1203404" y="1820591"/>
                      <a:pt x="1180171" y="1839951"/>
                    </a:cubicBezTo>
                    <a:cubicBezTo>
                      <a:pt x="1156966" y="1859288"/>
                      <a:pt x="1176791" y="1850370"/>
                      <a:pt x="1152293" y="1858537"/>
                    </a:cubicBezTo>
                    <a:cubicBezTo>
                      <a:pt x="1150744" y="1863183"/>
                      <a:pt x="1151632" y="1869629"/>
                      <a:pt x="1147647" y="1872476"/>
                    </a:cubicBezTo>
                    <a:cubicBezTo>
                      <a:pt x="1139676" y="1878170"/>
                      <a:pt x="1119769" y="1881769"/>
                      <a:pt x="1119769" y="1881769"/>
                    </a:cubicBezTo>
                    <a:cubicBezTo>
                      <a:pt x="1074693" y="1878764"/>
                      <a:pt x="1062205" y="1889555"/>
                      <a:pt x="1036134" y="1867829"/>
                    </a:cubicBezTo>
                    <a:cubicBezTo>
                      <a:pt x="1031086" y="1863622"/>
                      <a:pt x="1027939" y="1857081"/>
                      <a:pt x="1022195" y="1853890"/>
                    </a:cubicBezTo>
                    <a:cubicBezTo>
                      <a:pt x="1013632" y="1849133"/>
                      <a:pt x="994317" y="1844598"/>
                      <a:pt x="994317" y="1844598"/>
                    </a:cubicBezTo>
                    <a:cubicBezTo>
                      <a:pt x="989671" y="1841500"/>
                      <a:pt x="985373" y="1837802"/>
                      <a:pt x="980378" y="1835305"/>
                    </a:cubicBezTo>
                    <a:cubicBezTo>
                      <a:pt x="975997" y="1833115"/>
                      <a:pt x="967132" y="1835507"/>
                      <a:pt x="966439" y="1830659"/>
                    </a:cubicBezTo>
                    <a:cubicBezTo>
                      <a:pt x="963461" y="1809814"/>
                      <a:pt x="979532" y="1797291"/>
                      <a:pt x="994317" y="1788842"/>
                    </a:cubicBezTo>
                    <a:cubicBezTo>
                      <a:pt x="998569" y="1786412"/>
                      <a:pt x="1003610" y="1785744"/>
                      <a:pt x="1008256" y="1784195"/>
                    </a:cubicBezTo>
                    <a:cubicBezTo>
                      <a:pt x="1012955" y="1777147"/>
                      <a:pt x="1022195" y="1765936"/>
                      <a:pt x="1022195" y="1756317"/>
                    </a:cubicBezTo>
                    <a:cubicBezTo>
                      <a:pt x="1022195" y="1751419"/>
                      <a:pt x="1022025" y="1744367"/>
                      <a:pt x="1017549" y="1742378"/>
                    </a:cubicBezTo>
                    <a:cubicBezTo>
                      <a:pt x="1006138" y="1737307"/>
                      <a:pt x="992768" y="1739281"/>
                      <a:pt x="980378" y="1737732"/>
                    </a:cubicBezTo>
                    <a:cubicBezTo>
                      <a:pt x="975732" y="1736183"/>
                      <a:pt x="971148" y="1734432"/>
                      <a:pt x="966439" y="1733086"/>
                    </a:cubicBezTo>
                    <a:cubicBezTo>
                      <a:pt x="960299" y="1731332"/>
                      <a:pt x="952840" y="1732428"/>
                      <a:pt x="947854" y="1728439"/>
                    </a:cubicBezTo>
                    <a:cubicBezTo>
                      <a:pt x="944030" y="1725379"/>
                      <a:pt x="944757" y="1719146"/>
                      <a:pt x="943208" y="1714500"/>
                    </a:cubicBezTo>
                    <a:cubicBezTo>
                      <a:pt x="947854" y="1708305"/>
                      <a:pt x="951359" y="1701060"/>
                      <a:pt x="957147" y="1695915"/>
                    </a:cubicBezTo>
                    <a:cubicBezTo>
                      <a:pt x="965494" y="1688495"/>
                      <a:pt x="985025" y="1677329"/>
                      <a:pt x="985025" y="1677329"/>
                    </a:cubicBezTo>
                    <a:cubicBezTo>
                      <a:pt x="995162" y="1646917"/>
                      <a:pt x="981083" y="1676765"/>
                      <a:pt x="1003610" y="1658744"/>
                    </a:cubicBezTo>
                    <a:cubicBezTo>
                      <a:pt x="1007971" y="1655256"/>
                      <a:pt x="1009805" y="1649451"/>
                      <a:pt x="1012903" y="1644805"/>
                    </a:cubicBezTo>
                    <a:cubicBezTo>
                      <a:pt x="1008257" y="1643256"/>
                      <a:pt x="1003345" y="1642349"/>
                      <a:pt x="998964" y="1640159"/>
                    </a:cubicBezTo>
                    <a:cubicBezTo>
                      <a:pt x="993969" y="1637662"/>
                      <a:pt x="990374" y="1632471"/>
                      <a:pt x="985025" y="1630866"/>
                    </a:cubicBezTo>
                    <a:cubicBezTo>
                      <a:pt x="974535" y="1627719"/>
                      <a:pt x="963342" y="1627769"/>
                      <a:pt x="952500" y="1626220"/>
                    </a:cubicBezTo>
                    <a:cubicBezTo>
                      <a:pt x="947854" y="1624671"/>
                      <a:pt x="942024" y="1625036"/>
                      <a:pt x="938561" y="1621573"/>
                    </a:cubicBezTo>
                    <a:cubicBezTo>
                      <a:pt x="927019" y="1610031"/>
                      <a:pt x="937047" y="1602936"/>
                      <a:pt x="943208" y="1593695"/>
                    </a:cubicBezTo>
                    <a:cubicBezTo>
                      <a:pt x="944757" y="1589049"/>
                      <a:pt x="947161" y="1584604"/>
                      <a:pt x="947854" y="1579756"/>
                    </a:cubicBezTo>
                    <a:cubicBezTo>
                      <a:pt x="950273" y="1562821"/>
                      <a:pt x="947800" y="1545095"/>
                      <a:pt x="952500" y="1528647"/>
                    </a:cubicBezTo>
                    <a:cubicBezTo>
                      <a:pt x="954305" y="1522329"/>
                      <a:pt x="961793" y="1519354"/>
                      <a:pt x="966439" y="1514708"/>
                    </a:cubicBezTo>
                    <a:cubicBezTo>
                      <a:pt x="967988" y="1510062"/>
                      <a:pt x="971891" y="1505600"/>
                      <a:pt x="971086" y="1500769"/>
                    </a:cubicBezTo>
                    <a:cubicBezTo>
                      <a:pt x="970168" y="1495260"/>
                      <a:pt x="964061" y="1491932"/>
                      <a:pt x="961793" y="1486829"/>
                    </a:cubicBezTo>
                    <a:cubicBezTo>
                      <a:pt x="957815" y="1477878"/>
                      <a:pt x="955598" y="1468244"/>
                      <a:pt x="952500" y="1458951"/>
                    </a:cubicBezTo>
                    <a:lnTo>
                      <a:pt x="947854" y="1445012"/>
                    </a:lnTo>
                    <a:cubicBezTo>
                      <a:pt x="949403" y="1435719"/>
                      <a:pt x="948674" y="1425743"/>
                      <a:pt x="952500" y="1417134"/>
                    </a:cubicBezTo>
                    <a:cubicBezTo>
                      <a:pt x="955169" y="1411129"/>
                      <a:pt x="962232" y="1408243"/>
                      <a:pt x="966439" y="1403195"/>
                    </a:cubicBezTo>
                    <a:cubicBezTo>
                      <a:pt x="976540" y="1391074"/>
                      <a:pt x="973375" y="1385890"/>
                      <a:pt x="989671" y="1379964"/>
                    </a:cubicBezTo>
                    <a:cubicBezTo>
                      <a:pt x="1001674" y="1375599"/>
                      <a:pt x="1014452" y="1373769"/>
                      <a:pt x="1026842" y="1370671"/>
                    </a:cubicBezTo>
                    <a:lnTo>
                      <a:pt x="1064013" y="1361378"/>
                    </a:lnTo>
                    <a:cubicBezTo>
                      <a:pt x="1070732" y="1359698"/>
                      <a:pt x="1076403" y="1355183"/>
                      <a:pt x="1082598" y="1352086"/>
                    </a:cubicBezTo>
                    <a:cubicBezTo>
                      <a:pt x="1093057" y="1320707"/>
                      <a:pt x="1082598" y="1359333"/>
                      <a:pt x="1082598" y="1310269"/>
                    </a:cubicBezTo>
                    <a:cubicBezTo>
                      <a:pt x="1082598" y="1287597"/>
                      <a:pt x="1087178" y="1294061"/>
                      <a:pt x="1101183" y="1282390"/>
                    </a:cubicBezTo>
                    <a:cubicBezTo>
                      <a:pt x="1136950" y="1252583"/>
                      <a:pt x="1094460" y="1282225"/>
                      <a:pt x="1129061" y="1259159"/>
                    </a:cubicBezTo>
                    <a:cubicBezTo>
                      <a:pt x="1132159" y="1254513"/>
                      <a:pt x="1133993" y="1248709"/>
                      <a:pt x="1138354" y="1245220"/>
                    </a:cubicBezTo>
                    <a:cubicBezTo>
                      <a:pt x="1142178" y="1242160"/>
                      <a:pt x="1147791" y="1242502"/>
                      <a:pt x="1152293" y="1240573"/>
                    </a:cubicBezTo>
                    <a:cubicBezTo>
                      <a:pt x="1158659" y="1237845"/>
                      <a:pt x="1164447" y="1233853"/>
                      <a:pt x="1170878" y="1231281"/>
                    </a:cubicBezTo>
                    <a:cubicBezTo>
                      <a:pt x="1179973" y="1227643"/>
                      <a:pt x="1198756" y="1221988"/>
                      <a:pt x="1198756" y="1221988"/>
                    </a:cubicBezTo>
                    <a:cubicBezTo>
                      <a:pt x="1203402" y="1218890"/>
                      <a:pt x="1207162" y="1213450"/>
                      <a:pt x="1212695" y="1212695"/>
                    </a:cubicBezTo>
                    <a:cubicBezTo>
                      <a:pt x="1245554" y="1208214"/>
                      <a:pt x="1341985" y="1221104"/>
                      <a:pt x="1282391" y="1198756"/>
                    </a:cubicBezTo>
                    <a:cubicBezTo>
                      <a:pt x="1276412" y="1196514"/>
                      <a:pt x="1270000" y="1195659"/>
                      <a:pt x="1263805" y="1194110"/>
                    </a:cubicBezTo>
                    <a:cubicBezTo>
                      <a:pt x="1259159" y="1191012"/>
                      <a:pt x="1254861" y="1187314"/>
                      <a:pt x="1249866" y="1184817"/>
                    </a:cubicBezTo>
                    <a:cubicBezTo>
                      <a:pt x="1245485" y="1182627"/>
                      <a:pt x="1239390" y="1183634"/>
                      <a:pt x="1235927" y="1180171"/>
                    </a:cubicBezTo>
                    <a:cubicBezTo>
                      <a:pt x="1232464" y="1176708"/>
                      <a:pt x="1232830" y="1170878"/>
                      <a:pt x="1231281" y="1166232"/>
                    </a:cubicBezTo>
                    <a:cubicBezTo>
                      <a:pt x="1238635" y="1136812"/>
                      <a:pt x="1230614" y="1151188"/>
                      <a:pt x="1263805" y="1129061"/>
                    </a:cubicBezTo>
                    <a:lnTo>
                      <a:pt x="1277744" y="1119769"/>
                    </a:lnTo>
                    <a:lnTo>
                      <a:pt x="1305622" y="1077951"/>
                    </a:lnTo>
                    <a:cubicBezTo>
                      <a:pt x="1312277" y="1067968"/>
                      <a:pt x="1324227" y="1068649"/>
                      <a:pt x="1333500" y="1064012"/>
                    </a:cubicBezTo>
                    <a:cubicBezTo>
                      <a:pt x="1338495" y="1061515"/>
                      <a:pt x="1342793" y="1057817"/>
                      <a:pt x="1347439" y="1054720"/>
                    </a:cubicBezTo>
                    <a:cubicBezTo>
                      <a:pt x="1348988" y="1050074"/>
                      <a:pt x="1351210" y="1045600"/>
                      <a:pt x="1352086" y="1040781"/>
                    </a:cubicBezTo>
                    <a:cubicBezTo>
                      <a:pt x="1354320" y="1028496"/>
                      <a:pt x="1352095" y="1015204"/>
                      <a:pt x="1356732" y="1003610"/>
                    </a:cubicBezTo>
                    <a:cubicBezTo>
                      <a:pt x="1359504" y="996681"/>
                      <a:pt x="1378741" y="991627"/>
                      <a:pt x="1384610" y="989671"/>
                    </a:cubicBezTo>
                    <a:cubicBezTo>
                      <a:pt x="1387708" y="985025"/>
                      <a:pt x="1391635" y="980835"/>
                      <a:pt x="1393903" y="975732"/>
                    </a:cubicBezTo>
                    <a:cubicBezTo>
                      <a:pt x="1397881" y="966781"/>
                      <a:pt x="1403195" y="947854"/>
                      <a:pt x="1403195" y="947854"/>
                    </a:cubicBezTo>
                    <a:cubicBezTo>
                      <a:pt x="1404744" y="935464"/>
                      <a:pt x="1405789" y="923000"/>
                      <a:pt x="1407842" y="910683"/>
                    </a:cubicBezTo>
                    <a:cubicBezTo>
                      <a:pt x="1410183" y="896635"/>
                      <a:pt x="1417648" y="876620"/>
                      <a:pt x="1421781" y="864220"/>
                    </a:cubicBezTo>
                    <a:cubicBezTo>
                      <a:pt x="1423330" y="859574"/>
                      <a:pt x="1421781" y="851830"/>
                      <a:pt x="1426427" y="850281"/>
                    </a:cubicBezTo>
                    <a:lnTo>
                      <a:pt x="1440366" y="845634"/>
                    </a:lnTo>
                    <a:cubicBezTo>
                      <a:pt x="1441915" y="834793"/>
                      <a:pt x="1440115" y="822905"/>
                      <a:pt x="1445013" y="813110"/>
                    </a:cubicBezTo>
                    <a:cubicBezTo>
                      <a:pt x="1447203" y="808729"/>
                      <a:pt x="1456762" y="812845"/>
                      <a:pt x="1458952" y="808464"/>
                    </a:cubicBezTo>
                    <a:cubicBezTo>
                      <a:pt x="1463850" y="798668"/>
                      <a:pt x="1461639" y="786714"/>
                      <a:pt x="1463598" y="775939"/>
                    </a:cubicBezTo>
                    <a:cubicBezTo>
                      <a:pt x="1466407" y="760488"/>
                      <a:pt x="1472686" y="744028"/>
                      <a:pt x="1477537" y="729476"/>
                    </a:cubicBezTo>
                    <a:lnTo>
                      <a:pt x="1482183" y="715537"/>
                    </a:lnTo>
                    <a:cubicBezTo>
                      <a:pt x="1484261" y="709303"/>
                      <a:pt x="1491915" y="706646"/>
                      <a:pt x="1496122" y="701598"/>
                    </a:cubicBezTo>
                    <a:cubicBezTo>
                      <a:pt x="1512289" y="682198"/>
                      <a:pt x="1496471" y="690641"/>
                      <a:pt x="1519354" y="683012"/>
                    </a:cubicBezTo>
                    <a:cubicBezTo>
                      <a:pt x="1522452" y="678366"/>
                      <a:pt x="1524698" y="673022"/>
                      <a:pt x="1528647" y="669073"/>
                    </a:cubicBezTo>
                    <a:cubicBezTo>
                      <a:pt x="1532596" y="665125"/>
                      <a:pt x="1539098" y="664141"/>
                      <a:pt x="1542586" y="659781"/>
                    </a:cubicBezTo>
                    <a:cubicBezTo>
                      <a:pt x="1568237" y="627718"/>
                      <a:pt x="1521221" y="663184"/>
                      <a:pt x="1561171" y="636549"/>
                    </a:cubicBezTo>
                    <a:cubicBezTo>
                      <a:pt x="1562720" y="622610"/>
                      <a:pt x="1561382" y="608037"/>
                      <a:pt x="1565817" y="594732"/>
                    </a:cubicBezTo>
                    <a:cubicBezTo>
                      <a:pt x="1567974" y="588260"/>
                      <a:pt x="1594838" y="569482"/>
                      <a:pt x="1598342" y="566854"/>
                    </a:cubicBezTo>
                    <a:cubicBezTo>
                      <a:pt x="1615259" y="541479"/>
                      <a:pt x="1610018" y="541597"/>
                      <a:pt x="1630866" y="529683"/>
                    </a:cubicBezTo>
                    <a:cubicBezTo>
                      <a:pt x="1636880" y="526246"/>
                      <a:pt x="1643257" y="523488"/>
                      <a:pt x="1649452" y="520390"/>
                    </a:cubicBezTo>
                    <a:cubicBezTo>
                      <a:pt x="1651001" y="515744"/>
                      <a:pt x="1651038" y="510275"/>
                      <a:pt x="1654098" y="506451"/>
                    </a:cubicBezTo>
                    <a:cubicBezTo>
                      <a:pt x="1661855" y="496755"/>
                      <a:pt x="1675766" y="494925"/>
                      <a:pt x="1686622" y="492512"/>
                    </a:cubicBezTo>
                    <a:cubicBezTo>
                      <a:pt x="1694331" y="490799"/>
                      <a:pt x="1702110" y="489415"/>
                      <a:pt x="1709854" y="487866"/>
                    </a:cubicBezTo>
                    <a:cubicBezTo>
                      <a:pt x="1708305" y="480122"/>
                      <a:pt x="1712700" y="467131"/>
                      <a:pt x="1705208" y="464634"/>
                    </a:cubicBezTo>
                    <a:cubicBezTo>
                      <a:pt x="1689537" y="459410"/>
                      <a:pt x="1655092" y="469033"/>
                      <a:pt x="1635513" y="473927"/>
                    </a:cubicBezTo>
                    <a:cubicBezTo>
                      <a:pt x="1629318" y="477025"/>
                      <a:pt x="1623358" y="480648"/>
                      <a:pt x="1616927" y="483220"/>
                    </a:cubicBezTo>
                    <a:cubicBezTo>
                      <a:pt x="1598081" y="490758"/>
                      <a:pt x="1588714" y="492596"/>
                      <a:pt x="1570464" y="497159"/>
                    </a:cubicBezTo>
                    <a:cubicBezTo>
                      <a:pt x="1565818" y="500256"/>
                      <a:pt x="1561628" y="504183"/>
                      <a:pt x="1556525" y="506451"/>
                    </a:cubicBezTo>
                    <a:cubicBezTo>
                      <a:pt x="1547574" y="510429"/>
                      <a:pt x="1528647" y="515744"/>
                      <a:pt x="1528647" y="515744"/>
                    </a:cubicBezTo>
                    <a:cubicBezTo>
                      <a:pt x="1516257" y="514195"/>
                      <a:pt x="1502318" y="517293"/>
                      <a:pt x="1491476" y="511098"/>
                    </a:cubicBezTo>
                    <a:cubicBezTo>
                      <a:pt x="1487224" y="508668"/>
                      <a:pt x="1493405" y="501234"/>
                      <a:pt x="1496122" y="497159"/>
                    </a:cubicBezTo>
                    <a:cubicBezTo>
                      <a:pt x="1499767" y="491692"/>
                      <a:pt x="1505854" y="488268"/>
                      <a:pt x="1510061" y="483220"/>
                    </a:cubicBezTo>
                    <a:cubicBezTo>
                      <a:pt x="1513636" y="478930"/>
                      <a:pt x="1514993" y="472770"/>
                      <a:pt x="1519354" y="469281"/>
                    </a:cubicBezTo>
                    <a:cubicBezTo>
                      <a:pt x="1523178" y="466221"/>
                      <a:pt x="1528912" y="466824"/>
                      <a:pt x="1533293" y="464634"/>
                    </a:cubicBezTo>
                    <a:cubicBezTo>
                      <a:pt x="1565957" y="448302"/>
                      <a:pt x="1523357" y="459322"/>
                      <a:pt x="1575110" y="450695"/>
                    </a:cubicBezTo>
                    <a:cubicBezTo>
                      <a:pt x="1579756" y="447598"/>
                      <a:pt x="1586975" y="446588"/>
                      <a:pt x="1589049" y="441403"/>
                    </a:cubicBezTo>
                    <a:cubicBezTo>
                      <a:pt x="1590868" y="436856"/>
                      <a:pt x="1585591" y="432215"/>
                      <a:pt x="1584403" y="427464"/>
                    </a:cubicBezTo>
                    <a:cubicBezTo>
                      <a:pt x="1582488" y="419802"/>
                      <a:pt x="1581305" y="411976"/>
                      <a:pt x="1579756" y="404232"/>
                    </a:cubicBezTo>
                    <a:cubicBezTo>
                      <a:pt x="1581305" y="384098"/>
                      <a:pt x="1581898" y="363867"/>
                      <a:pt x="1584403" y="343829"/>
                    </a:cubicBezTo>
                    <a:cubicBezTo>
                      <a:pt x="1585010" y="338969"/>
                      <a:pt x="1586332" y="333965"/>
                      <a:pt x="1589049" y="329890"/>
                    </a:cubicBezTo>
                    <a:cubicBezTo>
                      <a:pt x="1592694" y="324423"/>
                      <a:pt x="1597521" y="319596"/>
                      <a:pt x="1602988" y="315951"/>
                    </a:cubicBezTo>
                    <a:cubicBezTo>
                      <a:pt x="1607063" y="313234"/>
                      <a:pt x="1612281" y="312854"/>
                      <a:pt x="1616927" y="311305"/>
                    </a:cubicBezTo>
                    <a:cubicBezTo>
                      <a:pt x="1624671" y="312854"/>
                      <a:pt x="1633733" y="311361"/>
                      <a:pt x="1640159" y="315951"/>
                    </a:cubicBezTo>
                    <a:cubicBezTo>
                      <a:pt x="1647680" y="321323"/>
                      <a:pt x="1650063" y="340406"/>
                      <a:pt x="1654098" y="348476"/>
                    </a:cubicBezTo>
                    <a:cubicBezTo>
                      <a:pt x="1660566" y="361413"/>
                      <a:pt x="1667055" y="366079"/>
                      <a:pt x="1677330" y="376354"/>
                    </a:cubicBezTo>
                    <a:cubicBezTo>
                      <a:pt x="1678879" y="381000"/>
                      <a:pt x="1678917" y="386469"/>
                      <a:pt x="1681976" y="390293"/>
                    </a:cubicBezTo>
                    <a:cubicBezTo>
                      <a:pt x="1696609" y="408585"/>
                      <a:pt x="1717928" y="397140"/>
                      <a:pt x="1737732" y="394939"/>
                    </a:cubicBezTo>
                    <a:cubicBezTo>
                      <a:pt x="1728099" y="366040"/>
                      <a:pt x="1723562" y="366284"/>
                      <a:pt x="1733086" y="334537"/>
                    </a:cubicBezTo>
                    <a:cubicBezTo>
                      <a:pt x="1734691" y="329188"/>
                      <a:pt x="1738430" y="324547"/>
                      <a:pt x="1742378" y="320598"/>
                    </a:cubicBezTo>
                    <a:cubicBezTo>
                      <a:pt x="1746327" y="316649"/>
                      <a:pt x="1751671" y="314403"/>
                      <a:pt x="1756317" y="311305"/>
                    </a:cubicBezTo>
                    <a:cubicBezTo>
                      <a:pt x="1759415" y="306659"/>
                      <a:pt x="1761249" y="300854"/>
                      <a:pt x="1765610" y="297366"/>
                    </a:cubicBezTo>
                    <a:cubicBezTo>
                      <a:pt x="1769434" y="294307"/>
                      <a:pt x="1774651" y="292720"/>
                      <a:pt x="1779549" y="292720"/>
                    </a:cubicBezTo>
                    <a:cubicBezTo>
                      <a:pt x="1802101" y="292720"/>
                      <a:pt x="1838988" y="298556"/>
                      <a:pt x="1863183" y="302012"/>
                    </a:cubicBezTo>
                    <a:cubicBezTo>
                      <a:pt x="1864732" y="297366"/>
                      <a:pt x="1868371" y="292941"/>
                      <a:pt x="1867830" y="288073"/>
                    </a:cubicBezTo>
                    <a:cubicBezTo>
                      <a:pt x="1866748" y="278338"/>
                      <a:pt x="1858537" y="260195"/>
                      <a:pt x="1858537" y="260195"/>
                    </a:cubicBezTo>
                    <a:cubicBezTo>
                      <a:pt x="1863183" y="257098"/>
                      <a:pt x="1868799" y="255105"/>
                      <a:pt x="1872476" y="250903"/>
                    </a:cubicBezTo>
                    <a:cubicBezTo>
                      <a:pt x="1885401" y="236131"/>
                      <a:pt x="1888638" y="219994"/>
                      <a:pt x="1905000" y="209086"/>
                    </a:cubicBezTo>
                    <a:cubicBezTo>
                      <a:pt x="1909075" y="206369"/>
                      <a:pt x="1914293" y="205988"/>
                      <a:pt x="1918939" y="204439"/>
                    </a:cubicBezTo>
                    <a:cubicBezTo>
                      <a:pt x="1940381" y="247321"/>
                      <a:pt x="1934165" y="228171"/>
                      <a:pt x="1942171" y="260195"/>
                    </a:cubicBezTo>
                    <a:lnTo>
                      <a:pt x="1951464" y="232317"/>
                    </a:lnTo>
                    <a:cubicBezTo>
                      <a:pt x="1953013" y="227671"/>
                      <a:pt x="1952035" y="221095"/>
                      <a:pt x="1956110" y="218378"/>
                    </a:cubicBezTo>
                    <a:lnTo>
                      <a:pt x="1970049" y="209086"/>
                    </a:lnTo>
                    <a:cubicBezTo>
                      <a:pt x="1980072" y="216603"/>
                      <a:pt x="1996215" y="232888"/>
                      <a:pt x="2011866" y="227671"/>
                    </a:cubicBezTo>
                    <a:cubicBezTo>
                      <a:pt x="2016512" y="226122"/>
                      <a:pt x="2014964" y="218378"/>
                      <a:pt x="2016513" y="213732"/>
                    </a:cubicBezTo>
                    <a:cubicBezTo>
                      <a:pt x="2014964" y="205988"/>
                      <a:pt x="2014639" y="197895"/>
                      <a:pt x="2011866" y="190500"/>
                    </a:cubicBezTo>
                    <a:cubicBezTo>
                      <a:pt x="2009905" y="185271"/>
                      <a:pt x="2001478" y="182037"/>
                      <a:pt x="2002573" y="176561"/>
                    </a:cubicBezTo>
                    <a:cubicBezTo>
                      <a:pt x="2003860" y="170130"/>
                      <a:pt x="2025887" y="164144"/>
                      <a:pt x="2030452" y="162622"/>
                    </a:cubicBezTo>
                    <a:cubicBezTo>
                      <a:pt x="2056781" y="164171"/>
                      <a:pt x="2083356" y="163357"/>
                      <a:pt x="2109439" y="167269"/>
                    </a:cubicBezTo>
                    <a:cubicBezTo>
                      <a:pt x="2114961" y="168097"/>
                      <a:pt x="2117794" y="176561"/>
                      <a:pt x="2123378" y="176561"/>
                    </a:cubicBezTo>
                    <a:cubicBezTo>
                      <a:pt x="2128962" y="176561"/>
                      <a:pt x="2132671" y="170366"/>
                      <a:pt x="2137317" y="167269"/>
                    </a:cubicBezTo>
                    <a:lnTo>
                      <a:pt x="2155903" y="139390"/>
                    </a:lnTo>
                    <a:cubicBezTo>
                      <a:pt x="2159000" y="134744"/>
                      <a:pt x="2160549" y="128548"/>
                      <a:pt x="2165195" y="125451"/>
                    </a:cubicBezTo>
                    <a:lnTo>
                      <a:pt x="2179134" y="116159"/>
                    </a:lnTo>
                    <a:lnTo>
                      <a:pt x="2188427" y="88281"/>
                    </a:lnTo>
                    <a:cubicBezTo>
                      <a:pt x="2211564" y="18872"/>
                      <a:pt x="2178187" y="73439"/>
                      <a:pt x="2202366" y="37171"/>
                    </a:cubicBezTo>
                    <a:cubicBezTo>
                      <a:pt x="2216305" y="38720"/>
                      <a:pt x="2231161" y="36608"/>
                      <a:pt x="2244183" y="41817"/>
                    </a:cubicBezTo>
                    <a:cubicBezTo>
                      <a:pt x="2248730" y="43636"/>
                      <a:pt x="2248406" y="50877"/>
                      <a:pt x="2248830" y="55756"/>
                    </a:cubicBezTo>
                    <a:cubicBezTo>
                      <a:pt x="2251517" y="86654"/>
                      <a:pt x="2251927" y="117707"/>
                      <a:pt x="2253476" y="148683"/>
                    </a:cubicBezTo>
                    <a:cubicBezTo>
                      <a:pt x="2256574" y="144037"/>
                      <a:pt x="2258820" y="138693"/>
                      <a:pt x="2262769" y="134744"/>
                    </a:cubicBezTo>
                    <a:cubicBezTo>
                      <a:pt x="2266718" y="130795"/>
                      <a:pt x="2273220" y="129812"/>
                      <a:pt x="2276708" y="125451"/>
                    </a:cubicBezTo>
                    <a:cubicBezTo>
                      <a:pt x="2280597" y="120590"/>
                      <a:pt x="2285641" y="89597"/>
                      <a:pt x="2286000" y="88281"/>
                    </a:cubicBezTo>
                    <a:cubicBezTo>
                      <a:pt x="2288577" y="78831"/>
                      <a:pt x="2292195" y="69696"/>
                      <a:pt x="2295293" y="60403"/>
                    </a:cubicBezTo>
                    <a:lnTo>
                      <a:pt x="2299939" y="46464"/>
                    </a:lnTo>
                    <a:cubicBezTo>
                      <a:pt x="2312329" y="48013"/>
                      <a:pt x="2325699" y="46039"/>
                      <a:pt x="2337110" y="51110"/>
                    </a:cubicBezTo>
                    <a:cubicBezTo>
                      <a:pt x="2341586" y="53099"/>
                      <a:pt x="2341063" y="60201"/>
                      <a:pt x="2341756" y="65049"/>
                    </a:cubicBezTo>
                    <a:cubicBezTo>
                      <a:pt x="2349900" y="122054"/>
                      <a:pt x="2329300" y="110458"/>
                      <a:pt x="2360342" y="120805"/>
                    </a:cubicBezTo>
                    <a:cubicBezTo>
                      <a:pt x="2364988" y="119256"/>
                      <a:pt x="2370818" y="119622"/>
                      <a:pt x="2374281" y="116159"/>
                    </a:cubicBezTo>
                    <a:cubicBezTo>
                      <a:pt x="2379179" y="111261"/>
                      <a:pt x="2382714" y="104446"/>
                      <a:pt x="2383573" y="97573"/>
                    </a:cubicBezTo>
                    <a:cubicBezTo>
                      <a:pt x="2387420" y="66798"/>
                      <a:pt x="2382417" y="35113"/>
                      <a:pt x="2388220" y="4647"/>
                    </a:cubicBezTo>
                    <a:cubicBezTo>
                      <a:pt x="2389136" y="-164"/>
                      <a:pt x="2397513" y="1549"/>
                      <a:pt x="2402159" y="0"/>
                    </a:cubicBezTo>
                    <a:cubicBezTo>
                      <a:pt x="2409903" y="1549"/>
                      <a:pt x="2419807" y="-937"/>
                      <a:pt x="2425391" y="4647"/>
                    </a:cubicBezTo>
                    <a:cubicBezTo>
                      <a:pt x="2432317" y="11573"/>
                      <a:pt x="2434683" y="32525"/>
                      <a:pt x="2434683" y="32525"/>
                    </a:cubicBezTo>
                    <a:cubicBezTo>
                      <a:pt x="2436232" y="58854"/>
                      <a:pt x="2433896" y="85703"/>
                      <a:pt x="2439330" y="111512"/>
                    </a:cubicBezTo>
                    <a:cubicBezTo>
                      <a:pt x="2445773" y="142117"/>
                      <a:pt x="2462313" y="107238"/>
                      <a:pt x="2462561" y="106866"/>
                    </a:cubicBezTo>
                    <a:cubicBezTo>
                      <a:pt x="2464110" y="96025"/>
                      <a:pt x="2465060" y="85081"/>
                      <a:pt x="2467208" y="74342"/>
                    </a:cubicBezTo>
                    <a:cubicBezTo>
                      <a:pt x="2468169" y="69539"/>
                      <a:pt x="2468391" y="63866"/>
                      <a:pt x="2471854" y="60403"/>
                    </a:cubicBezTo>
                    <a:cubicBezTo>
                      <a:pt x="2475317" y="56940"/>
                      <a:pt x="2481147" y="57305"/>
                      <a:pt x="2485793" y="55756"/>
                    </a:cubicBezTo>
                    <a:cubicBezTo>
                      <a:pt x="2499279" y="57442"/>
                      <a:pt x="2526203" y="59294"/>
                      <a:pt x="2541549" y="65049"/>
                    </a:cubicBezTo>
                    <a:cubicBezTo>
                      <a:pt x="2548034" y="67481"/>
                      <a:pt x="2554195" y="70778"/>
                      <a:pt x="2560134" y="74342"/>
                    </a:cubicBezTo>
                    <a:cubicBezTo>
                      <a:pt x="2569711" y="80088"/>
                      <a:pt x="2578720" y="86732"/>
                      <a:pt x="2588013" y="92927"/>
                    </a:cubicBezTo>
                    <a:lnTo>
                      <a:pt x="2601952" y="102220"/>
                    </a:lnTo>
                    <a:cubicBezTo>
                      <a:pt x="2610117" y="126717"/>
                      <a:pt x="2608128" y="106895"/>
                      <a:pt x="2592659" y="130098"/>
                    </a:cubicBezTo>
                    <a:cubicBezTo>
                      <a:pt x="2578499" y="151338"/>
                      <a:pt x="2600625" y="139834"/>
                      <a:pt x="2574073" y="148683"/>
                    </a:cubicBezTo>
                    <a:cubicBezTo>
                      <a:pt x="2569427" y="151781"/>
                      <a:pt x="2565237" y="155708"/>
                      <a:pt x="2560134" y="157976"/>
                    </a:cubicBezTo>
                    <a:cubicBezTo>
                      <a:pt x="2531968" y="170495"/>
                      <a:pt x="2533599" y="165422"/>
                      <a:pt x="2504378" y="171915"/>
                    </a:cubicBezTo>
                    <a:cubicBezTo>
                      <a:pt x="2499597" y="172977"/>
                      <a:pt x="2495085" y="175012"/>
                      <a:pt x="2490439" y="176561"/>
                    </a:cubicBezTo>
                    <a:cubicBezTo>
                      <a:pt x="2488890" y="181207"/>
                      <a:pt x="2483974" y="185953"/>
                      <a:pt x="2485793" y="190500"/>
                    </a:cubicBezTo>
                    <a:cubicBezTo>
                      <a:pt x="2487867" y="195685"/>
                      <a:pt x="2494599" y="197593"/>
                      <a:pt x="2499732" y="199793"/>
                    </a:cubicBezTo>
                    <a:cubicBezTo>
                      <a:pt x="2505601" y="202308"/>
                      <a:pt x="2512177" y="202685"/>
                      <a:pt x="2518317" y="204439"/>
                    </a:cubicBezTo>
                    <a:cubicBezTo>
                      <a:pt x="2523026" y="205785"/>
                      <a:pt x="2527610" y="207537"/>
                      <a:pt x="2532256" y="209086"/>
                    </a:cubicBezTo>
                    <a:cubicBezTo>
                      <a:pt x="2533805" y="213732"/>
                      <a:pt x="2538452" y="218379"/>
                      <a:pt x="2536903" y="223025"/>
                    </a:cubicBezTo>
                    <a:cubicBezTo>
                      <a:pt x="2533371" y="233620"/>
                      <a:pt x="2518317" y="250903"/>
                      <a:pt x="2518317" y="250903"/>
                    </a:cubicBezTo>
                    <a:cubicBezTo>
                      <a:pt x="2581826" y="261487"/>
                      <a:pt x="2503319" y="250903"/>
                      <a:pt x="2592659" y="250903"/>
                    </a:cubicBezTo>
                    <a:cubicBezTo>
                      <a:pt x="2608224" y="250903"/>
                      <a:pt x="2623634" y="254000"/>
                      <a:pt x="2639122" y="255549"/>
                    </a:cubicBezTo>
                    <a:cubicBezTo>
                      <a:pt x="2689483" y="272337"/>
                      <a:pt x="2652778" y="270197"/>
                      <a:pt x="2671647" y="223025"/>
                    </a:cubicBezTo>
                    <a:cubicBezTo>
                      <a:pt x="2673466" y="218478"/>
                      <a:pt x="2680940" y="219927"/>
                      <a:pt x="2685586" y="218378"/>
                    </a:cubicBezTo>
                    <a:cubicBezTo>
                      <a:pt x="2694879" y="219927"/>
                      <a:pt x="2704324" y="220740"/>
                      <a:pt x="2713464" y="223025"/>
                    </a:cubicBezTo>
                    <a:cubicBezTo>
                      <a:pt x="2722967" y="225401"/>
                      <a:pt x="2741342" y="232317"/>
                      <a:pt x="2741342" y="232317"/>
                    </a:cubicBezTo>
                    <a:cubicBezTo>
                      <a:pt x="2743724" y="239465"/>
                      <a:pt x="2751349" y="253047"/>
                      <a:pt x="2741342" y="260195"/>
                    </a:cubicBezTo>
                    <a:cubicBezTo>
                      <a:pt x="2733371" y="265889"/>
                      <a:pt x="2722757" y="266390"/>
                      <a:pt x="2713464" y="269488"/>
                    </a:cubicBezTo>
                    <a:lnTo>
                      <a:pt x="2699525" y="274134"/>
                    </a:lnTo>
                    <a:cubicBezTo>
                      <a:pt x="2697976" y="278780"/>
                      <a:pt x="2693059" y="283526"/>
                      <a:pt x="2694878" y="288073"/>
                    </a:cubicBezTo>
                    <a:cubicBezTo>
                      <a:pt x="2696952" y="293258"/>
                      <a:pt x="2703684" y="295166"/>
                      <a:pt x="2708817" y="297366"/>
                    </a:cubicBezTo>
                    <a:cubicBezTo>
                      <a:pt x="2729684" y="306309"/>
                      <a:pt x="2723240" y="297608"/>
                      <a:pt x="2741342" y="306659"/>
                    </a:cubicBezTo>
                    <a:cubicBezTo>
                      <a:pt x="2746337" y="309156"/>
                      <a:pt x="2749864" y="314597"/>
                      <a:pt x="2755281" y="315951"/>
                    </a:cubicBezTo>
                    <a:cubicBezTo>
                      <a:pt x="2768887" y="319353"/>
                      <a:pt x="2783214" y="318615"/>
                      <a:pt x="2797098" y="320598"/>
                    </a:cubicBezTo>
                    <a:cubicBezTo>
                      <a:pt x="2816717" y="323401"/>
                      <a:pt x="2820653" y="325832"/>
                      <a:pt x="2838915" y="329890"/>
                    </a:cubicBezTo>
                    <a:cubicBezTo>
                      <a:pt x="2846624" y="331603"/>
                      <a:pt x="2854403" y="332988"/>
                      <a:pt x="2862147" y="334537"/>
                    </a:cubicBezTo>
                    <a:cubicBezTo>
                      <a:pt x="2868342" y="339183"/>
                      <a:pt x="2873806" y="345013"/>
                      <a:pt x="2880732" y="348476"/>
                    </a:cubicBezTo>
                    <a:cubicBezTo>
                      <a:pt x="2880739" y="348479"/>
                      <a:pt x="2915576" y="360091"/>
                      <a:pt x="2922549" y="362415"/>
                    </a:cubicBezTo>
                    <a:cubicBezTo>
                      <a:pt x="2929120" y="364605"/>
                      <a:pt x="2934768" y="368980"/>
                      <a:pt x="2941134" y="371708"/>
                    </a:cubicBezTo>
                    <a:cubicBezTo>
                      <a:pt x="2945636" y="373637"/>
                      <a:pt x="2950427" y="374805"/>
                      <a:pt x="2955073" y="376354"/>
                    </a:cubicBezTo>
                    <a:cubicBezTo>
                      <a:pt x="2959720" y="379452"/>
                      <a:pt x="2964018" y="383150"/>
                      <a:pt x="2969013" y="385647"/>
                    </a:cubicBezTo>
                    <a:cubicBezTo>
                      <a:pt x="2975678" y="388979"/>
                      <a:pt x="2995583" y="393451"/>
                      <a:pt x="3001537" y="394939"/>
                    </a:cubicBezTo>
                    <a:cubicBezTo>
                      <a:pt x="3015534" y="404271"/>
                      <a:pt x="3017557" y="406452"/>
                      <a:pt x="3034061" y="413525"/>
                    </a:cubicBezTo>
                    <a:cubicBezTo>
                      <a:pt x="3038563" y="415454"/>
                      <a:pt x="3043354" y="416622"/>
                      <a:pt x="3048000" y="418171"/>
                    </a:cubicBezTo>
                    <a:cubicBezTo>
                      <a:pt x="3051098" y="422817"/>
                      <a:pt x="3052932" y="428622"/>
                      <a:pt x="3057293" y="432110"/>
                    </a:cubicBezTo>
                    <a:cubicBezTo>
                      <a:pt x="3061117" y="435169"/>
                      <a:pt x="3066851" y="434566"/>
                      <a:pt x="3071232" y="436756"/>
                    </a:cubicBezTo>
                    <a:cubicBezTo>
                      <a:pt x="3076227" y="439253"/>
                      <a:pt x="3080881" y="442474"/>
                      <a:pt x="3085171" y="446049"/>
                    </a:cubicBezTo>
                    <a:cubicBezTo>
                      <a:pt x="3130841" y="484108"/>
                      <a:pt x="3071854" y="437378"/>
                      <a:pt x="3108403" y="473927"/>
                    </a:cubicBezTo>
                    <a:cubicBezTo>
                      <a:pt x="3112352" y="477876"/>
                      <a:pt x="3117696" y="480122"/>
                      <a:pt x="3122342" y="483220"/>
                    </a:cubicBezTo>
                    <a:cubicBezTo>
                      <a:pt x="3147576" y="521074"/>
                      <a:pt x="3112036" y="474532"/>
                      <a:pt x="3150220" y="501805"/>
                    </a:cubicBezTo>
                    <a:cubicBezTo>
                      <a:pt x="3156521" y="506306"/>
                      <a:pt x="3158371" y="515245"/>
                      <a:pt x="3164159" y="520390"/>
                    </a:cubicBezTo>
                    <a:cubicBezTo>
                      <a:pt x="3172506" y="527810"/>
                      <a:pt x="3182744" y="532781"/>
                      <a:pt x="3192037" y="538976"/>
                    </a:cubicBezTo>
                    <a:lnTo>
                      <a:pt x="3205976" y="548269"/>
                    </a:lnTo>
                    <a:cubicBezTo>
                      <a:pt x="3227658" y="580793"/>
                      <a:pt x="3215268" y="569952"/>
                      <a:pt x="3238500" y="585439"/>
                    </a:cubicBezTo>
                    <a:cubicBezTo>
                      <a:pt x="3250181" y="620476"/>
                      <a:pt x="3234425" y="577288"/>
                      <a:pt x="3252439" y="613317"/>
                    </a:cubicBezTo>
                    <a:cubicBezTo>
                      <a:pt x="3254629" y="617698"/>
                      <a:pt x="3254707" y="622975"/>
                      <a:pt x="3257086" y="627256"/>
                    </a:cubicBezTo>
                    <a:cubicBezTo>
                      <a:pt x="3262510" y="637019"/>
                      <a:pt x="3275671" y="655134"/>
                      <a:pt x="3275671" y="655134"/>
                    </a:cubicBezTo>
                    <a:cubicBezTo>
                      <a:pt x="3274122" y="676817"/>
                      <a:pt x="3274803" y="698776"/>
                      <a:pt x="3271025" y="720183"/>
                    </a:cubicBezTo>
                    <a:cubicBezTo>
                      <a:pt x="3270055" y="725682"/>
                      <a:pt x="3264229" y="729127"/>
                      <a:pt x="3261732" y="734122"/>
                    </a:cubicBezTo>
                    <a:cubicBezTo>
                      <a:pt x="3243360" y="770867"/>
                      <a:pt x="3276178" y="722364"/>
                      <a:pt x="3243147" y="762000"/>
                    </a:cubicBezTo>
                    <a:cubicBezTo>
                      <a:pt x="3239572" y="766290"/>
                      <a:pt x="3238057" y="772262"/>
                      <a:pt x="3233854" y="775939"/>
                    </a:cubicBezTo>
                    <a:cubicBezTo>
                      <a:pt x="3225449" y="783294"/>
                      <a:pt x="3215269" y="788330"/>
                      <a:pt x="3205976" y="794525"/>
                    </a:cubicBezTo>
                    <a:cubicBezTo>
                      <a:pt x="3201330" y="797622"/>
                      <a:pt x="3197334" y="802051"/>
                      <a:pt x="3192037" y="803817"/>
                    </a:cubicBezTo>
                    <a:lnTo>
                      <a:pt x="3164159" y="813110"/>
                    </a:lnTo>
                    <a:lnTo>
                      <a:pt x="3150220" y="817756"/>
                    </a:lnTo>
                    <a:cubicBezTo>
                      <a:pt x="3145574" y="820854"/>
                      <a:pt x="3141865" y="827049"/>
                      <a:pt x="3136281" y="827049"/>
                    </a:cubicBezTo>
                    <a:cubicBezTo>
                      <a:pt x="3108231" y="827049"/>
                      <a:pt x="3080439" y="821546"/>
                      <a:pt x="3052647" y="817756"/>
                    </a:cubicBezTo>
                    <a:cubicBezTo>
                      <a:pt x="3038754" y="815862"/>
                      <a:pt x="3032876" y="812108"/>
                      <a:pt x="3020122" y="808464"/>
                    </a:cubicBezTo>
                    <a:cubicBezTo>
                      <a:pt x="3013982" y="806710"/>
                      <a:pt x="3007732" y="805366"/>
                      <a:pt x="3001537" y="803817"/>
                    </a:cubicBezTo>
                    <a:cubicBezTo>
                      <a:pt x="2973604" y="785197"/>
                      <a:pt x="2992422" y="794539"/>
                      <a:pt x="2936488" y="789878"/>
                    </a:cubicBezTo>
                    <a:lnTo>
                      <a:pt x="2876086" y="785232"/>
                    </a:lnTo>
                    <a:cubicBezTo>
                      <a:pt x="2871440" y="782134"/>
                      <a:pt x="2867142" y="778436"/>
                      <a:pt x="2862147" y="775939"/>
                    </a:cubicBezTo>
                    <a:cubicBezTo>
                      <a:pt x="2857766" y="773749"/>
                      <a:pt x="2852489" y="773671"/>
                      <a:pt x="2848208" y="771293"/>
                    </a:cubicBezTo>
                    <a:cubicBezTo>
                      <a:pt x="2838445" y="765869"/>
                      <a:pt x="2830319" y="757703"/>
                      <a:pt x="2820330" y="752708"/>
                    </a:cubicBezTo>
                    <a:cubicBezTo>
                      <a:pt x="2814135" y="749610"/>
                      <a:pt x="2807758" y="746852"/>
                      <a:pt x="2801744" y="743415"/>
                    </a:cubicBezTo>
                    <a:cubicBezTo>
                      <a:pt x="2796896" y="740644"/>
                      <a:pt x="2792938" y="736322"/>
                      <a:pt x="2787805" y="734122"/>
                    </a:cubicBezTo>
                    <a:cubicBezTo>
                      <a:pt x="2781936" y="731607"/>
                      <a:pt x="2775415" y="731025"/>
                      <a:pt x="2769220" y="729476"/>
                    </a:cubicBezTo>
                    <a:cubicBezTo>
                      <a:pt x="2766122" y="724830"/>
                      <a:pt x="2764288" y="719026"/>
                      <a:pt x="2759927" y="715537"/>
                    </a:cubicBezTo>
                    <a:cubicBezTo>
                      <a:pt x="2756103" y="712477"/>
                      <a:pt x="2750369" y="713080"/>
                      <a:pt x="2745988" y="710890"/>
                    </a:cubicBezTo>
                    <a:cubicBezTo>
                      <a:pt x="2709959" y="692876"/>
                      <a:pt x="2753147" y="708632"/>
                      <a:pt x="2718110" y="696951"/>
                    </a:cubicBezTo>
                    <a:cubicBezTo>
                      <a:pt x="2711915" y="698500"/>
                      <a:pt x="2703356" y="696489"/>
                      <a:pt x="2699525" y="701598"/>
                    </a:cubicBezTo>
                    <a:cubicBezTo>
                      <a:pt x="2696586" y="705516"/>
                      <a:pt x="2701793" y="711256"/>
                      <a:pt x="2704171" y="715537"/>
                    </a:cubicBezTo>
                    <a:cubicBezTo>
                      <a:pt x="2708381" y="723116"/>
                      <a:pt x="2729000" y="753023"/>
                      <a:pt x="2736695" y="762000"/>
                    </a:cubicBezTo>
                    <a:cubicBezTo>
                      <a:pt x="2763527" y="793304"/>
                      <a:pt x="2739388" y="759070"/>
                      <a:pt x="2759927" y="789878"/>
                    </a:cubicBezTo>
                    <a:cubicBezTo>
                      <a:pt x="2771605" y="824913"/>
                      <a:pt x="2754494" y="783087"/>
                      <a:pt x="2778513" y="813110"/>
                    </a:cubicBezTo>
                    <a:cubicBezTo>
                      <a:pt x="2796536" y="835638"/>
                      <a:pt x="2766685" y="821558"/>
                      <a:pt x="2797098" y="831695"/>
                    </a:cubicBezTo>
                    <a:cubicBezTo>
                      <a:pt x="2801744" y="836341"/>
                      <a:pt x="2805989" y="841427"/>
                      <a:pt x="2811037" y="845634"/>
                    </a:cubicBezTo>
                    <a:cubicBezTo>
                      <a:pt x="2815327" y="849209"/>
                      <a:pt x="2821027" y="850978"/>
                      <a:pt x="2824976" y="854927"/>
                    </a:cubicBezTo>
                    <a:cubicBezTo>
                      <a:pt x="2830452" y="860403"/>
                      <a:pt x="2834474" y="867168"/>
                      <a:pt x="2838915" y="873512"/>
                    </a:cubicBezTo>
                    <a:cubicBezTo>
                      <a:pt x="2845320" y="882661"/>
                      <a:pt x="2857500" y="901390"/>
                      <a:pt x="2857500" y="901390"/>
                    </a:cubicBezTo>
                    <a:cubicBezTo>
                      <a:pt x="2856012" y="907344"/>
                      <a:pt x="2851541" y="927250"/>
                      <a:pt x="2848208" y="933915"/>
                    </a:cubicBezTo>
                    <a:cubicBezTo>
                      <a:pt x="2845711" y="938910"/>
                      <a:pt x="2842013" y="943208"/>
                      <a:pt x="2838915" y="947854"/>
                    </a:cubicBezTo>
                    <a:cubicBezTo>
                      <a:pt x="2830063" y="974411"/>
                      <a:pt x="2829621" y="969530"/>
                      <a:pt x="2838915" y="1012903"/>
                    </a:cubicBezTo>
                    <a:cubicBezTo>
                      <a:pt x="2840085" y="1018363"/>
                      <a:pt x="2845110" y="1022196"/>
                      <a:pt x="2848208" y="1026842"/>
                    </a:cubicBezTo>
                    <a:cubicBezTo>
                      <a:pt x="2852809" y="1040646"/>
                      <a:pt x="2855748" y="1057614"/>
                      <a:pt x="2866793" y="1068659"/>
                    </a:cubicBezTo>
                    <a:cubicBezTo>
                      <a:pt x="2870742" y="1072607"/>
                      <a:pt x="2876086" y="1074854"/>
                      <a:pt x="2880732" y="1077951"/>
                    </a:cubicBezTo>
                    <a:cubicBezTo>
                      <a:pt x="2903373" y="1111911"/>
                      <a:pt x="2873240" y="1071707"/>
                      <a:pt x="2908610" y="1101183"/>
                    </a:cubicBezTo>
                    <a:cubicBezTo>
                      <a:pt x="2936633" y="1124535"/>
                      <a:pt x="2898561" y="1108674"/>
                      <a:pt x="2931842" y="1119769"/>
                    </a:cubicBezTo>
                    <a:cubicBezTo>
                      <a:pt x="2968085" y="1156012"/>
                      <a:pt x="2921557" y="1112423"/>
                      <a:pt x="2964366" y="1143000"/>
                    </a:cubicBezTo>
                    <a:cubicBezTo>
                      <a:pt x="2969713" y="1146819"/>
                      <a:pt x="2972561" y="1153748"/>
                      <a:pt x="2978305" y="1156939"/>
                    </a:cubicBezTo>
                    <a:cubicBezTo>
                      <a:pt x="2986868" y="1161696"/>
                      <a:pt x="2997422" y="1161851"/>
                      <a:pt x="3006183" y="1166232"/>
                    </a:cubicBezTo>
                    <a:lnTo>
                      <a:pt x="3024769" y="1175525"/>
                    </a:lnTo>
                    <a:cubicBezTo>
                      <a:pt x="3025980" y="1175222"/>
                      <a:pt x="3054265" y="1168654"/>
                      <a:pt x="3057293" y="1166232"/>
                    </a:cubicBezTo>
                    <a:cubicBezTo>
                      <a:pt x="3061654" y="1162744"/>
                      <a:pt x="3063488" y="1156939"/>
                      <a:pt x="3066586" y="1152293"/>
                    </a:cubicBezTo>
                    <a:cubicBezTo>
                      <a:pt x="3065037" y="1136805"/>
                      <a:pt x="3069392" y="1119494"/>
                      <a:pt x="3061939" y="1105829"/>
                    </a:cubicBezTo>
                    <a:cubicBezTo>
                      <a:pt x="3058158" y="1098896"/>
                      <a:pt x="3046417" y="1102896"/>
                      <a:pt x="3038708" y="1101183"/>
                    </a:cubicBezTo>
                    <a:cubicBezTo>
                      <a:pt x="3032474" y="1099798"/>
                      <a:pt x="3026317" y="1098086"/>
                      <a:pt x="3020122" y="1096537"/>
                    </a:cubicBezTo>
                    <a:cubicBezTo>
                      <a:pt x="3015476" y="1093439"/>
                      <a:pt x="3009758" y="1091534"/>
                      <a:pt x="3006183" y="1087244"/>
                    </a:cubicBezTo>
                    <a:cubicBezTo>
                      <a:pt x="2994103" y="1072747"/>
                      <a:pt x="2999505" y="1069241"/>
                      <a:pt x="2992244" y="1054720"/>
                    </a:cubicBezTo>
                    <a:cubicBezTo>
                      <a:pt x="2974230" y="1018691"/>
                      <a:pt x="2989986" y="1061879"/>
                      <a:pt x="2978305" y="1026842"/>
                    </a:cubicBezTo>
                    <a:cubicBezTo>
                      <a:pt x="2987737" y="1012694"/>
                      <a:pt x="2988894" y="1007609"/>
                      <a:pt x="3006183" y="998964"/>
                    </a:cubicBezTo>
                    <a:cubicBezTo>
                      <a:pt x="3014944" y="994583"/>
                      <a:pt x="3034061" y="989671"/>
                      <a:pt x="3034061" y="989671"/>
                    </a:cubicBezTo>
                    <a:cubicBezTo>
                      <a:pt x="3049549" y="991220"/>
                      <a:pt x="3065141" y="991950"/>
                      <a:pt x="3080525" y="994317"/>
                    </a:cubicBezTo>
                    <a:cubicBezTo>
                      <a:pt x="3095899" y="996682"/>
                      <a:pt x="3099892" y="1003505"/>
                      <a:pt x="3113049" y="1012903"/>
                    </a:cubicBezTo>
                    <a:cubicBezTo>
                      <a:pt x="3156358" y="1043837"/>
                      <a:pt x="3099505" y="1003829"/>
                      <a:pt x="3140927" y="1026842"/>
                    </a:cubicBezTo>
                    <a:cubicBezTo>
                      <a:pt x="3150690" y="1032266"/>
                      <a:pt x="3159512" y="1039232"/>
                      <a:pt x="3168805" y="1045427"/>
                    </a:cubicBezTo>
                    <a:cubicBezTo>
                      <a:pt x="3182481" y="1054544"/>
                      <a:pt x="3200153" y="1058973"/>
                      <a:pt x="3215269" y="1064012"/>
                    </a:cubicBezTo>
                    <a:lnTo>
                      <a:pt x="3229208" y="1068659"/>
                    </a:lnTo>
                    <a:cubicBezTo>
                      <a:pt x="3233854" y="1067110"/>
                      <a:pt x="3241328" y="1068559"/>
                      <a:pt x="3243147" y="1064012"/>
                    </a:cubicBezTo>
                    <a:cubicBezTo>
                      <a:pt x="3247685" y="1052666"/>
                      <a:pt x="3228915" y="1032647"/>
                      <a:pt x="3224561" y="1026842"/>
                    </a:cubicBezTo>
                    <a:cubicBezTo>
                      <a:pt x="3219915" y="1012903"/>
                      <a:pt x="3214185" y="999279"/>
                      <a:pt x="3210622" y="985025"/>
                    </a:cubicBezTo>
                    <a:cubicBezTo>
                      <a:pt x="3209073" y="978830"/>
                      <a:pt x="3207811" y="972556"/>
                      <a:pt x="3205976" y="966439"/>
                    </a:cubicBezTo>
                    <a:cubicBezTo>
                      <a:pt x="3203161" y="957057"/>
                      <a:pt x="3196683" y="938561"/>
                      <a:pt x="3196683" y="938561"/>
                    </a:cubicBezTo>
                    <a:cubicBezTo>
                      <a:pt x="3198232" y="924622"/>
                      <a:pt x="3199024" y="910578"/>
                      <a:pt x="3201330" y="896744"/>
                    </a:cubicBezTo>
                    <a:cubicBezTo>
                      <a:pt x="3202135" y="891913"/>
                      <a:pt x="3202917" y="886629"/>
                      <a:pt x="3205976" y="882805"/>
                    </a:cubicBezTo>
                    <a:cubicBezTo>
                      <a:pt x="3211627" y="875741"/>
                      <a:pt x="3232347" y="868480"/>
                      <a:pt x="3238500" y="864220"/>
                    </a:cubicBezTo>
                    <a:cubicBezTo>
                      <a:pt x="3306796" y="816938"/>
                      <a:pt x="3256280" y="843712"/>
                      <a:pt x="3298903" y="822403"/>
                    </a:cubicBezTo>
                    <a:cubicBezTo>
                      <a:pt x="3302000" y="817757"/>
                      <a:pt x="3303993" y="812141"/>
                      <a:pt x="3308195" y="808464"/>
                    </a:cubicBezTo>
                    <a:cubicBezTo>
                      <a:pt x="3316600" y="801109"/>
                      <a:pt x="3336073" y="789878"/>
                      <a:pt x="3336073" y="789878"/>
                    </a:cubicBezTo>
                    <a:cubicBezTo>
                      <a:pt x="3353110" y="791427"/>
                      <a:pt x="3370833" y="789494"/>
                      <a:pt x="3387183" y="794525"/>
                    </a:cubicBezTo>
                    <a:cubicBezTo>
                      <a:pt x="3392520" y="796167"/>
                      <a:pt x="3392527" y="804515"/>
                      <a:pt x="3396476" y="808464"/>
                    </a:cubicBezTo>
                    <a:cubicBezTo>
                      <a:pt x="3407447" y="819435"/>
                      <a:pt x="3416250" y="817942"/>
                      <a:pt x="3429000" y="827049"/>
                    </a:cubicBezTo>
                    <a:cubicBezTo>
                      <a:pt x="3434347" y="830868"/>
                      <a:pt x="3437891" y="836781"/>
                      <a:pt x="3442939" y="840988"/>
                    </a:cubicBezTo>
                    <a:cubicBezTo>
                      <a:pt x="3454949" y="850997"/>
                      <a:pt x="3456846" y="850270"/>
                      <a:pt x="3470817" y="854927"/>
                    </a:cubicBezTo>
                    <a:cubicBezTo>
                      <a:pt x="3472366" y="850281"/>
                      <a:pt x="3475464" y="845886"/>
                      <a:pt x="3475464" y="840988"/>
                    </a:cubicBezTo>
                    <a:cubicBezTo>
                      <a:pt x="3475464" y="819636"/>
                      <a:pt x="3471892" y="811689"/>
                      <a:pt x="3466171" y="794525"/>
                    </a:cubicBezTo>
                    <a:cubicBezTo>
                      <a:pt x="3467720" y="775940"/>
                      <a:pt x="3467160" y="757057"/>
                      <a:pt x="3470817" y="738769"/>
                    </a:cubicBezTo>
                    <a:cubicBezTo>
                      <a:pt x="3471912" y="733293"/>
                      <a:pt x="3477842" y="729932"/>
                      <a:pt x="3480110" y="724829"/>
                    </a:cubicBezTo>
                    <a:cubicBezTo>
                      <a:pt x="3484088" y="715878"/>
                      <a:pt x="3489403" y="696951"/>
                      <a:pt x="3489403" y="696951"/>
                    </a:cubicBezTo>
                    <a:cubicBezTo>
                      <a:pt x="3486305" y="692305"/>
                      <a:pt x="3484059" y="686961"/>
                      <a:pt x="3480110" y="683012"/>
                    </a:cubicBezTo>
                    <a:cubicBezTo>
                      <a:pt x="3476161" y="679064"/>
                      <a:pt x="3469659" y="678080"/>
                      <a:pt x="3466171" y="673720"/>
                    </a:cubicBezTo>
                    <a:cubicBezTo>
                      <a:pt x="3440520" y="641657"/>
                      <a:pt x="3487536" y="677123"/>
                      <a:pt x="3447586" y="650488"/>
                    </a:cubicBezTo>
                    <a:cubicBezTo>
                      <a:pt x="3435795" y="603333"/>
                      <a:pt x="3440776" y="630906"/>
                      <a:pt x="3447586" y="538976"/>
                    </a:cubicBezTo>
                    <a:cubicBezTo>
                      <a:pt x="3449620" y="511517"/>
                      <a:pt x="3450247" y="512407"/>
                      <a:pt x="3456878" y="492512"/>
                    </a:cubicBezTo>
                    <a:cubicBezTo>
                      <a:pt x="3455329" y="478573"/>
                      <a:pt x="3458881" y="463043"/>
                      <a:pt x="3452232" y="450695"/>
                    </a:cubicBezTo>
                    <a:cubicBezTo>
                      <a:pt x="3446937" y="440862"/>
                      <a:pt x="3413214" y="431314"/>
                      <a:pt x="3424354" y="432110"/>
                    </a:cubicBezTo>
                    <a:lnTo>
                      <a:pt x="3489403" y="436756"/>
                    </a:lnTo>
                    <a:cubicBezTo>
                      <a:pt x="3497147" y="438305"/>
                      <a:pt x="3504844" y="440105"/>
                      <a:pt x="3512634" y="441403"/>
                    </a:cubicBezTo>
                    <a:cubicBezTo>
                      <a:pt x="3523437" y="443204"/>
                      <a:pt x="3534669" y="442902"/>
                      <a:pt x="3545159" y="446049"/>
                    </a:cubicBezTo>
                    <a:cubicBezTo>
                      <a:pt x="3550508" y="447654"/>
                      <a:pt x="3554249" y="452571"/>
                      <a:pt x="3559098" y="455342"/>
                    </a:cubicBezTo>
                    <a:cubicBezTo>
                      <a:pt x="3565112" y="458778"/>
                      <a:pt x="3571810" y="460963"/>
                      <a:pt x="3577683" y="464634"/>
                    </a:cubicBezTo>
                    <a:cubicBezTo>
                      <a:pt x="3584250" y="468738"/>
                      <a:pt x="3589967" y="474072"/>
                      <a:pt x="3596269" y="478573"/>
                    </a:cubicBezTo>
                    <a:cubicBezTo>
                      <a:pt x="3600813" y="481819"/>
                      <a:pt x="3605562" y="484768"/>
                      <a:pt x="3610208" y="487866"/>
                    </a:cubicBezTo>
                    <a:cubicBezTo>
                      <a:pt x="3611757" y="492512"/>
                      <a:pt x="3612664" y="497424"/>
                      <a:pt x="3614854" y="501805"/>
                    </a:cubicBezTo>
                    <a:cubicBezTo>
                      <a:pt x="3617351" y="506800"/>
                      <a:pt x="3621947" y="510611"/>
                      <a:pt x="3624147" y="515744"/>
                    </a:cubicBezTo>
                    <a:cubicBezTo>
                      <a:pt x="3626662" y="521613"/>
                      <a:pt x="3627039" y="528189"/>
                      <a:pt x="3628793" y="534329"/>
                    </a:cubicBezTo>
                    <a:cubicBezTo>
                      <a:pt x="3630138" y="539039"/>
                      <a:pt x="3631890" y="543622"/>
                      <a:pt x="3633439" y="548269"/>
                    </a:cubicBezTo>
                    <a:cubicBezTo>
                      <a:pt x="3631890" y="554464"/>
                      <a:pt x="3632881" y="561948"/>
                      <a:pt x="3628793" y="566854"/>
                    </a:cubicBezTo>
                    <a:cubicBezTo>
                      <a:pt x="3622398" y="574528"/>
                      <a:pt x="3600422" y="578593"/>
                      <a:pt x="3591622" y="580793"/>
                    </a:cubicBezTo>
                    <a:cubicBezTo>
                      <a:pt x="3586976" y="583891"/>
                      <a:pt x="3582912" y="588125"/>
                      <a:pt x="3577683" y="590086"/>
                    </a:cubicBezTo>
                    <a:cubicBezTo>
                      <a:pt x="3531752" y="607311"/>
                      <a:pt x="3573203" y="582231"/>
                      <a:pt x="3540513" y="604025"/>
                    </a:cubicBezTo>
                    <a:cubicBezTo>
                      <a:pt x="3537415" y="608671"/>
                      <a:pt x="3530527" y="612423"/>
                      <a:pt x="3531220" y="617964"/>
                    </a:cubicBezTo>
                    <a:cubicBezTo>
                      <a:pt x="3532340" y="626925"/>
                      <a:pt x="3541120" y="633118"/>
                      <a:pt x="3545159" y="641195"/>
                    </a:cubicBezTo>
                    <a:cubicBezTo>
                      <a:pt x="3566485" y="683848"/>
                      <a:pt x="3526750" y="621511"/>
                      <a:pt x="3563744" y="669073"/>
                    </a:cubicBezTo>
                    <a:cubicBezTo>
                      <a:pt x="3570601" y="677889"/>
                      <a:pt x="3576135" y="687658"/>
                      <a:pt x="3582330" y="696951"/>
                    </a:cubicBezTo>
                    <a:cubicBezTo>
                      <a:pt x="3585427" y="701597"/>
                      <a:pt x="3586325" y="709124"/>
                      <a:pt x="3591622" y="710890"/>
                    </a:cubicBezTo>
                    <a:cubicBezTo>
                      <a:pt x="3596268" y="712439"/>
                      <a:pt x="3600810" y="714349"/>
                      <a:pt x="3605561" y="715537"/>
                    </a:cubicBezTo>
                    <a:cubicBezTo>
                      <a:pt x="3613223" y="717452"/>
                      <a:pt x="3621049" y="718634"/>
                      <a:pt x="3628793" y="720183"/>
                    </a:cubicBezTo>
                    <a:cubicBezTo>
                      <a:pt x="3633439" y="723281"/>
                      <a:pt x="3637148" y="729476"/>
                      <a:pt x="3642732" y="729476"/>
                    </a:cubicBezTo>
                    <a:cubicBezTo>
                      <a:pt x="3656743" y="729476"/>
                      <a:pt x="3658416" y="714948"/>
                      <a:pt x="3661317" y="706244"/>
                    </a:cubicBezTo>
                    <a:cubicBezTo>
                      <a:pt x="3662866" y="692305"/>
                      <a:pt x="3663658" y="678261"/>
                      <a:pt x="3665964" y="664427"/>
                    </a:cubicBezTo>
                    <a:cubicBezTo>
                      <a:pt x="3666769" y="659596"/>
                      <a:pt x="3667893" y="654563"/>
                      <a:pt x="3670610" y="650488"/>
                    </a:cubicBezTo>
                    <a:cubicBezTo>
                      <a:pt x="3674255" y="645021"/>
                      <a:pt x="3680515" y="641736"/>
                      <a:pt x="3684549" y="636549"/>
                    </a:cubicBezTo>
                    <a:cubicBezTo>
                      <a:pt x="3691406" y="627733"/>
                      <a:pt x="3694199" y="615372"/>
                      <a:pt x="3703134" y="608671"/>
                    </a:cubicBezTo>
                    <a:cubicBezTo>
                      <a:pt x="3709329" y="604025"/>
                      <a:pt x="3714996" y="598574"/>
                      <a:pt x="3721720" y="594732"/>
                    </a:cubicBezTo>
                    <a:cubicBezTo>
                      <a:pt x="3725972" y="592302"/>
                      <a:pt x="3731157" y="592015"/>
                      <a:pt x="3735659" y="590086"/>
                    </a:cubicBezTo>
                    <a:cubicBezTo>
                      <a:pt x="3775849" y="572862"/>
                      <a:pt x="3735494" y="587043"/>
                      <a:pt x="3768183" y="576147"/>
                    </a:cubicBezTo>
                    <a:cubicBezTo>
                      <a:pt x="3772829" y="573049"/>
                      <a:pt x="3777832" y="570429"/>
                      <a:pt x="3782122" y="566854"/>
                    </a:cubicBezTo>
                    <a:cubicBezTo>
                      <a:pt x="3787170" y="562647"/>
                      <a:pt x="3790594" y="556560"/>
                      <a:pt x="3796061" y="552915"/>
                    </a:cubicBezTo>
                    <a:cubicBezTo>
                      <a:pt x="3800136" y="550198"/>
                      <a:pt x="3805354" y="549818"/>
                      <a:pt x="3810000" y="548269"/>
                    </a:cubicBezTo>
                    <a:cubicBezTo>
                      <a:pt x="3814646" y="545171"/>
                      <a:pt x="3818836" y="541244"/>
                      <a:pt x="3823939" y="538976"/>
                    </a:cubicBezTo>
                    <a:cubicBezTo>
                      <a:pt x="3832890" y="534998"/>
                      <a:pt x="3851817" y="529683"/>
                      <a:pt x="3851817" y="529683"/>
                    </a:cubicBezTo>
                    <a:cubicBezTo>
                      <a:pt x="3856463" y="526585"/>
                      <a:pt x="3860761" y="522887"/>
                      <a:pt x="3865756" y="520390"/>
                    </a:cubicBezTo>
                    <a:cubicBezTo>
                      <a:pt x="3870137" y="518200"/>
                      <a:pt x="3879695" y="515744"/>
                      <a:pt x="3879695" y="497159"/>
                    </a:cubicBezTo>
                    <a:close/>
                  </a:path>
                </a:pathLst>
              </a:cu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58" name="Freeform 257"/>
              <xdr:cNvSpPr/>
            </xdr:nvSpPr>
            <xdr:spPr>
              <a:xfrm>
                <a:off x="5155254" y="10813626"/>
                <a:ext cx="61660" cy="128345"/>
              </a:xfrm>
              <a:custGeom>
                <a:avLst/>
                <a:gdLst>
                  <a:gd name="connsiteX0" fmla="*/ 47050 w 72354"/>
                  <a:gd name="connsiteY0" fmla="*/ 0 h 130097"/>
                  <a:gd name="connsiteX1" fmla="*/ 5233 w 72354"/>
                  <a:gd name="connsiteY1" fmla="*/ 51109 h 130097"/>
                  <a:gd name="connsiteX2" fmla="*/ 9880 w 72354"/>
                  <a:gd name="connsiteY2" fmla="*/ 92926 h 130097"/>
                  <a:gd name="connsiteX3" fmla="*/ 587 w 72354"/>
                  <a:gd name="connsiteY3" fmla="*/ 106865 h 130097"/>
                  <a:gd name="connsiteX4" fmla="*/ 19172 w 72354"/>
                  <a:gd name="connsiteY4" fmla="*/ 130097 h 130097"/>
                  <a:gd name="connsiteX5" fmla="*/ 33111 w 72354"/>
                  <a:gd name="connsiteY5" fmla="*/ 125451 h 130097"/>
                  <a:gd name="connsiteX6" fmla="*/ 51697 w 72354"/>
                  <a:gd name="connsiteY6" fmla="*/ 69695 h 130097"/>
                  <a:gd name="connsiteX7" fmla="*/ 56343 w 72354"/>
                  <a:gd name="connsiteY7" fmla="*/ 55756 h 130097"/>
                  <a:gd name="connsiteX8" fmla="*/ 70282 w 72354"/>
                  <a:gd name="connsiteY8" fmla="*/ 51109 h 130097"/>
                  <a:gd name="connsiteX9" fmla="*/ 47050 w 72354"/>
                  <a:gd name="connsiteY9" fmla="*/ 0 h 13009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72354" h="130097">
                    <a:moveTo>
                      <a:pt x="47050" y="0"/>
                    </a:moveTo>
                    <a:cubicBezTo>
                      <a:pt x="36209" y="0"/>
                      <a:pt x="19172" y="34073"/>
                      <a:pt x="5233" y="51109"/>
                    </a:cubicBezTo>
                    <a:cubicBezTo>
                      <a:pt x="6782" y="65048"/>
                      <a:pt x="11045" y="78950"/>
                      <a:pt x="9880" y="92926"/>
                    </a:cubicBezTo>
                    <a:cubicBezTo>
                      <a:pt x="9416" y="98491"/>
                      <a:pt x="1377" y="101337"/>
                      <a:pt x="587" y="106865"/>
                    </a:cubicBezTo>
                    <a:cubicBezTo>
                      <a:pt x="-2331" y="127286"/>
                      <a:pt x="5886" y="125669"/>
                      <a:pt x="19172" y="130097"/>
                    </a:cubicBezTo>
                    <a:cubicBezTo>
                      <a:pt x="23818" y="128548"/>
                      <a:pt x="31562" y="130097"/>
                      <a:pt x="33111" y="125451"/>
                    </a:cubicBezTo>
                    <a:cubicBezTo>
                      <a:pt x="53471" y="64374"/>
                      <a:pt x="17157" y="81207"/>
                      <a:pt x="51697" y="69695"/>
                    </a:cubicBezTo>
                    <a:cubicBezTo>
                      <a:pt x="53246" y="65049"/>
                      <a:pt x="52880" y="59219"/>
                      <a:pt x="56343" y="55756"/>
                    </a:cubicBezTo>
                    <a:cubicBezTo>
                      <a:pt x="59806" y="52293"/>
                      <a:pt x="68733" y="55755"/>
                      <a:pt x="70282" y="51109"/>
                    </a:cubicBezTo>
                    <a:cubicBezTo>
                      <a:pt x="79038" y="24840"/>
                      <a:pt x="57891" y="0"/>
                      <a:pt x="47050" y="0"/>
                    </a:cubicBezTo>
                    <a:close/>
                  </a:path>
                </a:pathLst>
              </a:cu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59" name="Freeform 258"/>
              <xdr:cNvSpPr/>
            </xdr:nvSpPr>
            <xdr:spPr>
              <a:xfrm>
                <a:off x="5278573" y="10492763"/>
                <a:ext cx="123319" cy="128345"/>
              </a:xfrm>
              <a:custGeom>
                <a:avLst/>
                <a:gdLst>
                  <a:gd name="connsiteX0" fmla="*/ 37170 w 107860"/>
                  <a:gd name="connsiteY0" fmla="*/ 4850 h 111716"/>
                  <a:gd name="connsiteX1" fmla="*/ 37170 w 107860"/>
                  <a:gd name="connsiteY1" fmla="*/ 4850 h 111716"/>
                  <a:gd name="connsiteX2" fmla="*/ 13939 w 107860"/>
                  <a:gd name="connsiteY2" fmla="*/ 37375 h 111716"/>
                  <a:gd name="connsiteX3" fmla="*/ 9292 w 107860"/>
                  <a:gd name="connsiteY3" fmla="*/ 60606 h 111716"/>
                  <a:gd name="connsiteX4" fmla="*/ 0 w 107860"/>
                  <a:gd name="connsiteY4" fmla="*/ 74545 h 111716"/>
                  <a:gd name="connsiteX5" fmla="*/ 9292 w 107860"/>
                  <a:gd name="connsiteY5" fmla="*/ 88485 h 111716"/>
                  <a:gd name="connsiteX6" fmla="*/ 55756 w 107860"/>
                  <a:gd name="connsiteY6" fmla="*/ 97777 h 111716"/>
                  <a:gd name="connsiteX7" fmla="*/ 83634 w 107860"/>
                  <a:gd name="connsiteY7" fmla="*/ 111716 h 111716"/>
                  <a:gd name="connsiteX8" fmla="*/ 102219 w 107860"/>
                  <a:gd name="connsiteY8" fmla="*/ 107070 h 111716"/>
                  <a:gd name="connsiteX9" fmla="*/ 106865 w 107860"/>
                  <a:gd name="connsiteY9" fmla="*/ 93131 h 111716"/>
                  <a:gd name="connsiteX10" fmla="*/ 78987 w 107860"/>
                  <a:gd name="connsiteY10" fmla="*/ 83838 h 111716"/>
                  <a:gd name="connsiteX11" fmla="*/ 83634 w 107860"/>
                  <a:gd name="connsiteY11" fmla="*/ 46667 h 111716"/>
                  <a:gd name="connsiteX12" fmla="*/ 88280 w 107860"/>
                  <a:gd name="connsiteY12" fmla="*/ 32728 h 111716"/>
                  <a:gd name="connsiteX13" fmla="*/ 78987 w 107860"/>
                  <a:gd name="connsiteY13" fmla="*/ 18789 h 111716"/>
                  <a:gd name="connsiteX14" fmla="*/ 74341 w 107860"/>
                  <a:gd name="connsiteY14" fmla="*/ 4850 h 111716"/>
                  <a:gd name="connsiteX15" fmla="*/ 60402 w 107860"/>
                  <a:gd name="connsiteY15" fmla="*/ 204 h 111716"/>
                  <a:gd name="connsiteX16" fmla="*/ 37170 w 107860"/>
                  <a:gd name="connsiteY16" fmla="*/ 4850 h 11171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107860" h="111716">
                    <a:moveTo>
                      <a:pt x="37170" y="4850"/>
                    </a:moveTo>
                    <a:lnTo>
                      <a:pt x="37170" y="4850"/>
                    </a:lnTo>
                    <a:cubicBezTo>
                      <a:pt x="29426" y="15692"/>
                      <a:pt x="19897" y="25458"/>
                      <a:pt x="13939" y="37375"/>
                    </a:cubicBezTo>
                    <a:cubicBezTo>
                      <a:pt x="10407" y="44438"/>
                      <a:pt x="12065" y="53212"/>
                      <a:pt x="9292" y="60606"/>
                    </a:cubicBezTo>
                    <a:cubicBezTo>
                      <a:pt x="7331" y="65835"/>
                      <a:pt x="3097" y="69899"/>
                      <a:pt x="0" y="74545"/>
                    </a:cubicBezTo>
                    <a:cubicBezTo>
                      <a:pt x="3097" y="79192"/>
                      <a:pt x="4646" y="85387"/>
                      <a:pt x="9292" y="88485"/>
                    </a:cubicBezTo>
                    <a:cubicBezTo>
                      <a:pt x="13912" y="91565"/>
                      <a:pt x="55666" y="97762"/>
                      <a:pt x="55756" y="97777"/>
                    </a:cubicBezTo>
                    <a:cubicBezTo>
                      <a:pt x="62804" y="102476"/>
                      <a:pt x="74015" y="111716"/>
                      <a:pt x="83634" y="111716"/>
                    </a:cubicBezTo>
                    <a:cubicBezTo>
                      <a:pt x="90020" y="111716"/>
                      <a:pt x="96024" y="108619"/>
                      <a:pt x="102219" y="107070"/>
                    </a:cubicBezTo>
                    <a:cubicBezTo>
                      <a:pt x="103768" y="102424"/>
                      <a:pt x="110328" y="96594"/>
                      <a:pt x="106865" y="93131"/>
                    </a:cubicBezTo>
                    <a:cubicBezTo>
                      <a:pt x="99939" y="86205"/>
                      <a:pt x="78987" y="83838"/>
                      <a:pt x="78987" y="83838"/>
                    </a:cubicBezTo>
                    <a:cubicBezTo>
                      <a:pt x="80536" y="71448"/>
                      <a:pt x="81400" y="58952"/>
                      <a:pt x="83634" y="46667"/>
                    </a:cubicBezTo>
                    <a:cubicBezTo>
                      <a:pt x="84510" y="41848"/>
                      <a:pt x="89085" y="37559"/>
                      <a:pt x="88280" y="32728"/>
                    </a:cubicBezTo>
                    <a:cubicBezTo>
                      <a:pt x="87362" y="27220"/>
                      <a:pt x="82085" y="23435"/>
                      <a:pt x="78987" y="18789"/>
                    </a:cubicBezTo>
                    <a:cubicBezTo>
                      <a:pt x="77438" y="14143"/>
                      <a:pt x="77804" y="8313"/>
                      <a:pt x="74341" y="4850"/>
                    </a:cubicBezTo>
                    <a:cubicBezTo>
                      <a:pt x="70878" y="1387"/>
                      <a:pt x="64949" y="2023"/>
                      <a:pt x="60402" y="204"/>
                    </a:cubicBezTo>
                    <a:cubicBezTo>
                      <a:pt x="57186" y="-1082"/>
                      <a:pt x="41042" y="4076"/>
                      <a:pt x="37170" y="4850"/>
                    </a:cubicBezTo>
                    <a:close/>
                  </a:path>
                </a:pathLst>
              </a:cu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60" name="Freeform 259"/>
              <xdr:cNvSpPr/>
            </xdr:nvSpPr>
            <xdr:spPr>
              <a:xfrm>
                <a:off x="5463552" y="10685281"/>
                <a:ext cx="61660" cy="64172"/>
              </a:xfrm>
              <a:custGeom>
                <a:avLst/>
                <a:gdLst>
                  <a:gd name="connsiteX0" fmla="*/ 23388 w 74498"/>
                  <a:gd name="connsiteY0" fmla="*/ 0 h 116158"/>
                  <a:gd name="connsiteX1" fmla="*/ 23388 w 74498"/>
                  <a:gd name="connsiteY1" fmla="*/ 0 h 116158"/>
                  <a:gd name="connsiteX2" fmla="*/ 28035 w 74498"/>
                  <a:gd name="connsiteY2" fmla="*/ 41817 h 116158"/>
                  <a:gd name="connsiteX3" fmla="*/ 32681 w 74498"/>
                  <a:gd name="connsiteY3" fmla="*/ 55756 h 116158"/>
                  <a:gd name="connsiteX4" fmla="*/ 9449 w 74498"/>
                  <a:gd name="connsiteY4" fmla="*/ 74341 h 116158"/>
                  <a:gd name="connsiteX5" fmla="*/ 157 w 74498"/>
                  <a:gd name="connsiteY5" fmla="*/ 88280 h 116158"/>
                  <a:gd name="connsiteX6" fmla="*/ 4803 w 74498"/>
                  <a:gd name="connsiteY6" fmla="*/ 102219 h 116158"/>
                  <a:gd name="connsiteX7" fmla="*/ 32681 w 74498"/>
                  <a:gd name="connsiteY7" fmla="*/ 116158 h 116158"/>
                  <a:gd name="connsiteX8" fmla="*/ 41974 w 74498"/>
                  <a:gd name="connsiteY8" fmla="*/ 102219 h 116158"/>
                  <a:gd name="connsiteX9" fmla="*/ 74498 w 74498"/>
                  <a:gd name="connsiteY9" fmla="*/ 92926 h 116158"/>
                  <a:gd name="connsiteX10" fmla="*/ 55913 w 74498"/>
                  <a:gd name="connsiteY10" fmla="*/ 74341 h 116158"/>
                  <a:gd name="connsiteX11" fmla="*/ 37327 w 74498"/>
                  <a:gd name="connsiteY11" fmla="*/ 46463 h 116158"/>
                  <a:gd name="connsiteX12" fmla="*/ 41974 w 74498"/>
                  <a:gd name="connsiteY12" fmla="*/ 27878 h 116158"/>
                  <a:gd name="connsiteX13" fmla="*/ 55913 w 74498"/>
                  <a:gd name="connsiteY13" fmla="*/ 18585 h 116158"/>
                  <a:gd name="connsiteX14" fmla="*/ 23388 w 74498"/>
                  <a:gd name="connsiteY14" fmla="*/ 0 h 11615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74498" h="116158">
                    <a:moveTo>
                      <a:pt x="23388" y="0"/>
                    </a:moveTo>
                    <a:lnTo>
                      <a:pt x="23388" y="0"/>
                    </a:lnTo>
                    <a:cubicBezTo>
                      <a:pt x="24937" y="13939"/>
                      <a:pt x="25729" y="27983"/>
                      <a:pt x="28035" y="41817"/>
                    </a:cubicBezTo>
                    <a:cubicBezTo>
                      <a:pt x="28840" y="46648"/>
                      <a:pt x="33486" y="50925"/>
                      <a:pt x="32681" y="55756"/>
                    </a:cubicBezTo>
                    <a:cubicBezTo>
                      <a:pt x="30208" y="70591"/>
                      <a:pt x="20321" y="70717"/>
                      <a:pt x="9449" y="74341"/>
                    </a:cubicBezTo>
                    <a:cubicBezTo>
                      <a:pt x="6352" y="78987"/>
                      <a:pt x="1075" y="82772"/>
                      <a:pt x="157" y="88280"/>
                    </a:cubicBezTo>
                    <a:cubicBezTo>
                      <a:pt x="-648" y="93111"/>
                      <a:pt x="1744" y="98395"/>
                      <a:pt x="4803" y="102219"/>
                    </a:cubicBezTo>
                    <a:cubicBezTo>
                      <a:pt x="11354" y="110408"/>
                      <a:pt x="23498" y="113097"/>
                      <a:pt x="32681" y="116158"/>
                    </a:cubicBezTo>
                    <a:cubicBezTo>
                      <a:pt x="35779" y="111512"/>
                      <a:pt x="37613" y="105707"/>
                      <a:pt x="41974" y="102219"/>
                    </a:cubicBezTo>
                    <a:cubicBezTo>
                      <a:pt x="45002" y="99797"/>
                      <a:pt x="73287" y="93229"/>
                      <a:pt x="74498" y="92926"/>
                    </a:cubicBezTo>
                    <a:cubicBezTo>
                      <a:pt x="62109" y="55756"/>
                      <a:pt x="80693" y="99120"/>
                      <a:pt x="55913" y="74341"/>
                    </a:cubicBezTo>
                    <a:cubicBezTo>
                      <a:pt x="48016" y="66444"/>
                      <a:pt x="37327" y="46463"/>
                      <a:pt x="37327" y="46463"/>
                    </a:cubicBezTo>
                    <a:cubicBezTo>
                      <a:pt x="38876" y="40268"/>
                      <a:pt x="38432" y="33191"/>
                      <a:pt x="41974" y="27878"/>
                    </a:cubicBezTo>
                    <a:cubicBezTo>
                      <a:pt x="45072" y="23232"/>
                      <a:pt x="54147" y="23883"/>
                      <a:pt x="55913" y="18585"/>
                    </a:cubicBezTo>
                    <a:cubicBezTo>
                      <a:pt x="63610" y="-4508"/>
                      <a:pt x="28809" y="3097"/>
                      <a:pt x="23388" y="0"/>
                    </a:cubicBezTo>
                    <a:close/>
                  </a:path>
                </a:pathLst>
              </a:cu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61" name="Freeform 260"/>
              <xdr:cNvSpPr/>
            </xdr:nvSpPr>
            <xdr:spPr>
              <a:xfrm>
                <a:off x="4538658" y="12289593"/>
                <a:ext cx="123319" cy="320862"/>
              </a:xfrm>
              <a:custGeom>
                <a:avLst/>
                <a:gdLst>
                  <a:gd name="connsiteX0" fmla="*/ 74936 w 107461"/>
                  <a:gd name="connsiteY0" fmla="*/ 0 h 320706"/>
                  <a:gd name="connsiteX1" fmla="*/ 74936 w 107461"/>
                  <a:gd name="connsiteY1" fmla="*/ 0 h 320706"/>
                  <a:gd name="connsiteX2" fmla="*/ 42412 w 107461"/>
                  <a:gd name="connsiteY2" fmla="*/ 23232 h 320706"/>
                  <a:gd name="connsiteX3" fmla="*/ 33119 w 107461"/>
                  <a:gd name="connsiteY3" fmla="*/ 51110 h 320706"/>
                  <a:gd name="connsiteX4" fmla="*/ 37766 w 107461"/>
                  <a:gd name="connsiteY4" fmla="*/ 83634 h 320706"/>
                  <a:gd name="connsiteX5" fmla="*/ 51705 w 107461"/>
                  <a:gd name="connsiteY5" fmla="*/ 88281 h 320706"/>
                  <a:gd name="connsiteX6" fmla="*/ 60997 w 107461"/>
                  <a:gd name="connsiteY6" fmla="*/ 116159 h 320706"/>
                  <a:gd name="connsiteX7" fmla="*/ 56351 w 107461"/>
                  <a:gd name="connsiteY7" fmla="*/ 148683 h 320706"/>
                  <a:gd name="connsiteX8" fmla="*/ 42412 w 107461"/>
                  <a:gd name="connsiteY8" fmla="*/ 153329 h 320706"/>
                  <a:gd name="connsiteX9" fmla="*/ 14534 w 107461"/>
                  <a:gd name="connsiteY9" fmla="*/ 167268 h 320706"/>
                  <a:gd name="connsiteX10" fmla="*/ 595 w 107461"/>
                  <a:gd name="connsiteY10" fmla="*/ 176561 h 320706"/>
                  <a:gd name="connsiteX11" fmla="*/ 5241 w 107461"/>
                  <a:gd name="connsiteY11" fmla="*/ 204439 h 320706"/>
                  <a:gd name="connsiteX12" fmla="*/ 19180 w 107461"/>
                  <a:gd name="connsiteY12" fmla="*/ 232317 h 320706"/>
                  <a:gd name="connsiteX13" fmla="*/ 23827 w 107461"/>
                  <a:gd name="connsiteY13" fmla="*/ 311305 h 320706"/>
                  <a:gd name="connsiteX14" fmla="*/ 37766 w 107461"/>
                  <a:gd name="connsiteY14" fmla="*/ 320598 h 320706"/>
                  <a:gd name="connsiteX15" fmla="*/ 51705 w 107461"/>
                  <a:gd name="connsiteY15" fmla="*/ 315951 h 320706"/>
                  <a:gd name="connsiteX16" fmla="*/ 84229 w 107461"/>
                  <a:gd name="connsiteY16" fmla="*/ 283427 h 320706"/>
                  <a:gd name="connsiteX17" fmla="*/ 93522 w 107461"/>
                  <a:gd name="connsiteY17" fmla="*/ 269488 h 320706"/>
                  <a:gd name="connsiteX18" fmla="*/ 93522 w 107461"/>
                  <a:gd name="connsiteY18" fmla="*/ 185854 h 320706"/>
                  <a:gd name="connsiteX19" fmla="*/ 88875 w 107461"/>
                  <a:gd name="connsiteY19" fmla="*/ 171915 h 320706"/>
                  <a:gd name="connsiteX20" fmla="*/ 74936 w 107461"/>
                  <a:gd name="connsiteY20" fmla="*/ 144037 h 320706"/>
                  <a:gd name="connsiteX21" fmla="*/ 79583 w 107461"/>
                  <a:gd name="connsiteY21" fmla="*/ 78988 h 320706"/>
                  <a:gd name="connsiteX22" fmla="*/ 93522 w 107461"/>
                  <a:gd name="connsiteY22" fmla="*/ 69695 h 320706"/>
                  <a:gd name="connsiteX23" fmla="*/ 98168 w 107461"/>
                  <a:gd name="connsiteY23" fmla="*/ 55756 h 320706"/>
                  <a:gd name="connsiteX24" fmla="*/ 107461 w 107461"/>
                  <a:gd name="connsiteY24" fmla="*/ 41817 h 320706"/>
                  <a:gd name="connsiteX25" fmla="*/ 74936 w 107461"/>
                  <a:gd name="connsiteY25" fmla="*/ 0 h 32070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Lst>
                <a:rect l="l" t="t" r="r" b="b"/>
                <a:pathLst>
                  <a:path w="107461" h="320706">
                    <a:moveTo>
                      <a:pt x="74936" y="0"/>
                    </a:moveTo>
                    <a:lnTo>
                      <a:pt x="74936" y="0"/>
                    </a:lnTo>
                    <a:cubicBezTo>
                      <a:pt x="64095" y="7744"/>
                      <a:pt x="50849" y="12920"/>
                      <a:pt x="42412" y="23232"/>
                    </a:cubicBezTo>
                    <a:cubicBezTo>
                      <a:pt x="36209" y="30813"/>
                      <a:pt x="33119" y="51110"/>
                      <a:pt x="33119" y="51110"/>
                    </a:cubicBezTo>
                    <a:cubicBezTo>
                      <a:pt x="34668" y="61951"/>
                      <a:pt x="32868" y="73839"/>
                      <a:pt x="37766" y="83634"/>
                    </a:cubicBezTo>
                    <a:cubicBezTo>
                      <a:pt x="39956" y="88015"/>
                      <a:pt x="48858" y="84295"/>
                      <a:pt x="51705" y="88281"/>
                    </a:cubicBezTo>
                    <a:cubicBezTo>
                      <a:pt x="57398" y="96252"/>
                      <a:pt x="60997" y="116159"/>
                      <a:pt x="60997" y="116159"/>
                    </a:cubicBezTo>
                    <a:cubicBezTo>
                      <a:pt x="59448" y="127000"/>
                      <a:pt x="61249" y="138888"/>
                      <a:pt x="56351" y="148683"/>
                    </a:cubicBezTo>
                    <a:cubicBezTo>
                      <a:pt x="54161" y="153064"/>
                      <a:pt x="46793" y="151139"/>
                      <a:pt x="42412" y="153329"/>
                    </a:cubicBezTo>
                    <a:cubicBezTo>
                      <a:pt x="6384" y="171343"/>
                      <a:pt x="49570" y="155590"/>
                      <a:pt x="14534" y="167268"/>
                    </a:cubicBezTo>
                    <a:cubicBezTo>
                      <a:pt x="9888" y="170366"/>
                      <a:pt x="1949" y="171143"/>
                      <a:pt x="595" y="176561"/>
                    </a:cubicBezTo>
                    <a:cubicBezTo>
                      <a:pt x="-1690" y="185701"/>
                      <a:pt x="3197" y="195243"/>
                      <a:pt x="5241" y="204439"/>
                    </a:cubicBezTo>
                    <a:cubicBezTo>
                      <a:pt x="8447" y="218864"/>
                      <a:pt x="10828" y="219788"/>
                      <a:pt x="19180" y="232317"/>
                    </a:cubicBezTo>
                    <a:cubicBezTo>
                      <a:pt x="20729" y="258646"/>
                      <a:pt x="18393" y="285496"/>
                      <a:pt x="23827" y="311305"/>
                    </a:cubicBezTo>
                    <a:cubicBezTo>
                      <a:pt x="24977" y="316769"/>
                      <a:pt x="32258" y="319680"/>
                      <a:pt x="37766" y="320598"/>
                    </a:cubicBezTo>
                    <a:cubicBezTo>
                      <a:pt x="42597" y="321403"/>
                      <a:pt x="47059" y="317500"/>
                      <a:pt x="51705" y="315951"/>
                    </a:cubicBezTo>
                    <a:cubicBezTo>
                      <a:pt x="73007" y="283998"/>
                      <a:pt x="59695" y="291605"/>
                      <a:pt x="84229" y="283427"/>
                    </a:cubicBezTo>
                    <a:cubicBezTo>
                      <a:pt x="87327" y="278781"/>
                      <a:pt x="91025" y="274483"/>
                      <a:pt x="93522" y="269488"/>
                    </a:cubicBezTo>
                    <a:cubicBezTo>
                      <a:pt x="106052" y="244429"/>
                      <a:pt x="96015" y="208293"/>
                      <a:pt x="93522" y="185854"/>
                    </a:cubicBezTo>
                    <a:cubicBezTo>
                      <a:pt x="92981" y="180986"/>
                      <a:pt x="91065" y="176296"/>
                      <a:pt x="88875" y="171915"/>
                    </a:cubicBezTo>
                    <a:cubicBezTo>
                      <a:pt x="70861" y="135886"/>
                      <a:pt x="86617" y="179074"/>
                      <a:pt x="74936" y="144037"/>
                    </a:cubicBezTo>
                    <a:cubicBezTo>
                      <a:pt x="76485" y="122354"/>
                      <a:pt x="74311" y="100077"/>
                      <a:pt x="79583" y="78988"/>
                    </a:cubicBezTo>
                    <a:cubicBezTo>
                      <a:pt x="80937" y="73570"/>
                      <a:pt x="90034" y="74056"/>
                      <a:pt x="93522" y="69695"/>
                    </a:cubicBezTo>
                    <a:cubicBezTo>
                      <a:pt x="96581" y="65871"/>
                      <a:pt x="95978" y="60137"/>
                      <a:pt x="98168" y="55756"/>
                    </a:cubicBezTo>
                    <a:cubicBezTo>
                      <a:pt x="100665" y="50761"/>
                      <a:pt x="104363" y="46463"/>
                      <a:pt x="107461" y="41817"/>
                    </a:cubicBezTo>
                    <a:cubicBezTo>
                      <a:pt x="97678" y="12470"/>
                      <a:pt x="80357" y="6969"/>
                      <a:pt x="74936" y="0"/>
                    </a:cubicBezTo>
                    <a:close/>
                  </a:path>
                </a:pathLst>
              </a:cu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62" name="Freeform 261"/>
              <xdr:cNvSpPr/>
            </xdr:nvSpPr>
            <xdr:spPr>
              <a:xfrm>
                <a:off x="4230359" y="12482111"/>
                <a:ext cx="0" cy="64172"/>
              </a:xfrm>
              <a:custGeom>
                <a:avLst/>
                <a:gdLst>
                  <a:gd name="connsiteX0" fmla="*/ 51135 w 51135"/>
                  <a:gd name="connsiteY0" fmla="*/ 5283 h 51746"/>
                  <a:gd name="connsiteX1" fmla="*/ 51135 w 51135"/>
                  <a:gd name="connsiteY1" fmla="*/ 5283 h 51746"/>
                  <a:gd name="connsiteX2" fmla="*/ 9318 w 51135"/>
                  <a:gd name="connsiteY2" fmla="*/ 637 h 51746"/>
                  <a:gd name="connsiteX3" fmla="*/ 4672 w 51135"/>
                  <a:gd name="connsiteY3" fmla="*/ 37807 h 51746"/>
                  <a:gd name="connsiteX4" fmla="*/ 32550 w 51135"/>
                  <a:gd name="connsiteY4" fmla="*/ 51746 h 51746"/>
                  <a:gd name="connsiteX5" fmla="*/ 51135 w 51135"/>
                  <a:gd name="connsiteY5" fmla="*/ 5283 h 5174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51135" h="51746">
                    <a:moveTo>
                      <a:pt x="51135" y="5283"/>
                    </a:moveTo>
                    <a:lnTo>
                      <a:pt x="51135" y="5283"/>
                    </a:lnTo>
                    <a:cubicBezTo>
                      <a:pt x="37196" y="3734"/>
                      <a:pt x="23117" y="-1872"/>
                      <a:pt x="9318" y="637"/>
                    </a:cubicBezTo>
                    <a:cubicBezTo>
                      <a:pt x="-6854" y="3578"/>
                      <a:pt x="2466" y="33947"/>
                      <a:pt x="4672" y="37807"/>
                    </a:cubicBezTo>
                    <a:cubicBezTo>
                      <a:pt x="8911" y="45225"/>
                      <a:pt x="25394" y="49361"/>
                      <a:pt x="32550" y="51746"/>
                    </a:cubicBezTo>
                    <a:cubicBezTo>
                      <a:pt x="43561" y="35230"/>
                      <a:pt x="48038" y="13027"/>
                      <a:pt x="51135" y="5283"/>
                    </a:cubicBezTo>
                    <a:close/>
                  </a:path>
                </a:pathLst>
              </a:cu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63" name="Freeform 262"/>
              <xdr:cNvSpPr/>
            </xdr:nvSpPr>
            <xdr:spPr>
              <a:xfrm>
                <a:off x="5525212" y="12867146"/>
                <a:ext cx="184979" cy="64172"/>
              </a:xfrm>
              <a:custGeom>
                <a:avLst/>
                <a:gdLst>
                  <a:gd name="connsiteX0" fmla="*/ 38444 w 191774"/>
                  <a:gd name="connsiteY0" fmla="*/ 0 h 66588"/>
                  <a:gd name="connsiteX1" fmla="*/ 38444 w 191774"/>
                  <a:gd name="connsiteY1" fmla="*/ 0 h 66588"/>
                  <a:gd name="connsiteX2" fmla="*/ 1274 w 191774"/>
                  <a:gd name="connsiteY2" fmla="*/ 13939 h 66588"/>
                  <a:gd name="connsiteX3" fmla="*/ 5920 w 191774"/>
                  <a:gd name="connsiteY3" fmla="*/ 27878 h 66588"/>
                  <a:gd name="connsiteX4" fmla="*/ 19859 w 191774"/>
                  <a:gd name="connsiteY4" fmla="*/ 37171 h 66588"/>
                  <a:gd name="connsiteX5" fmla="*/ 52383 w 191774"/>
                  <a:gd name="connsiteY5" fmla="*/ 46463 h 66588"/>
                  <a:gd name="connsiteX6" fmla="*/ 66322 w 191774"/>
                  <a:gd name="connsiteY6" fmla="*/ 51110 h 66588"/>
                  <a:gd name="connsiteX7" fmla="*/ 75615 w 191774"/>
                  <a:gd name="connsiteY7" fmla="*/ 65049 h 66588"/>
                  <a:gd name="connsiteX8" fmla="*/ 163896 w 191774"/>
                  <a:gd name="connsiteY8" fmla="*/ 51110 h 66588"/>
                  <a:gd name="connsiteX9" fmla="*/ 177835 w 191774"/>
                  <a:gd name="connsiteY9" fmla="*/ 46463 h 66588"/>
                  <a:gd name="connsiteX10" fmla="*/ 191774 w 191774"/>
                  <a:gd name="connsiteY10" fmla="*/ 41817 h 66588"/>
                  <a:gd name="connsiteX11" fmla="*/ 136018 w 191774"/>
                  <a:gd name="connsiteY11" fmla="*/ 23232 h 66588"/>
                  <a:gd name="connsiteX12" fmla="*/ 108140 w 191774"/>
                  <a:gd name="connsiteY12" fmla="*/ 13939 h 66588"/>
                  <a:gd name="connsiteX13" fmla="*/ 80262 w 191774"/>
                  <a:gd name="connsiteY13" fmla="*/ 18585 h 66588"/>
                  <a:gd name="connsiteX14" fmla="*/ 38444 w 191774"/>
                  <a:gd name="connsiteY14" fmla="*/ 0 h 6658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191774" h="66588">
                    <a:moveTo>
                      <a:pt x="38444" y="0"/>
                    </a:moveTo>
                    <a:lnTo>
                      <a:pt x="38444" y="0"/>
                    </a:lnTo>
                    <a:cubicBezTo>
                      <a:pt x="26054" y="4646"/>
                      <a:pt x="11321" y="5327"/>
                      <a:pt x="1274" y="13939"/>
                    </a:cubicBezTo>
                    <a:cubicBezTo>
                      <a:pt x="-2445" y="17126"/>
                      <a:pt x="2861" y="24054"/>
                      <a:pt x="5920" y="27878"/>
                    </a:cubicBezTo>
                    <a:cubicBezTo>
                      <a:pt x="9408" y="32239"/>
                      <a:pt x="14864" y="34674"/>
                      <a:pt x="19859" y="37171"/>
                    </a:cubicBezTo>
                    <a:cubicBezTo>
                      <a:pt x="27285" y="40884"/>
                      <a:pt x="45437" y="44478"/>
                      <a:pt x="52383" y="46463"/>
                    </a:cubicBezTo>
                    <a:cubicBezTo>
                      <a:pt x="57092" y="47809"/>
                      <a:pt x="61676" y="49561"/>
                      <a:pt x="66322" y="51110"/>
                    </a:cubicBezTo>
                    <a:cubicBezTo>
                      <a:pt x="69420" y="55756"/>
                      <a:pt x="70080" y="64311"/>
                      <a:pt x="75615" y="65049"/>
                    </a:cubicBezTo>
                    <a:cubicBezTo>
                      <a:pt x="114164" y="70188"/>
                      <a:pt x="132198" y="61676"/>
                      <a:pt x="163896" y="51110"/>
                    </a:cubicBezTo>
                    <a:lnTo>
                      <a:pt x="177835" y="46463"/>
                    </a:lnTo>
                    <a:lnTo>
                      <a:pt x="191774" y="41817"/>
                    </a:lnTo>
                    <a:cubicBezTo>
                      <a:pt x="172603" y="13061"/>
                      <a:pt x="191506" y="33636"/>
                      <a:pt x="136018" y="23232"/>
                    </a:cubicBezTo>
                    <a:cubicBezTo>
                      <a:pt x="126390" y="21427"/>
                      <a:pt x="108140" y="13939"/>
                      <a:pt x="108140" y="13939"/>
                    </a:cubicBezTo>
                    <a:cubicBezTo>
                      <a:pt x="98847" y="15488"/>
                      <a:pt x="89458" y="16541"/>
                      <a:pt x="80262" y="18585"/>
                    </a:cubicBezTo>
                    <a:cubicBezTo>
                      <a:pt x="57147" y="23722"/>
                      <a:pt x="45414" y="3097"/>
                      <a:pt x="38444" y="0"/>
                    </a:cubicBezTo>
                    <a:close/>
                  </a:path>
                </a:pathLst>
              </a:cu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64" name="Freeform 263"/>
              <xdr:cNvSpPr/>
            </xdr:nvSpPr>
            <xdr:spPr>
              <a:xfrm>
                <a:off x="6141808" y="12867146"/>
                <a:ext cx="123319" cy="64172"/>
              </a:xfrm>
              <a:custGeom>
                <a:avLst/>
                <a:gdLst>
                  <a:gd name="connsiteX0" fmla="*/ 0 w 144859"/>
                  <a:gd name="connsiteY0" fmla="*/ 55757 h 79538"/>
                  <a:gd name="connsiteX1" fmla="*/ 0 w 144859"/>
                  <a:gd name="connsiteY1" fmla="*/ 55757 h 79538"/>
                  <a:gd name="connsiteX2" fmla="*/ 65049 w 144859"/>
                  <a:gd name="connsiteY2" fmla="*/ 74342 h 79538"/>
                  <a:gd name="connsiteX3" fmla="*/ 92927 w 144859"/>
                  <a:gd name="connsiteY3" fmla="*/ 65049 h 79538"/>
                  <a:gd name="connsiteX4" fmla="*/ 120805 w 144859"/>
                  <a:gd name="connsiteY4" fmla="*/ 41818 h 79538"/>
                  <a:gd name="connsiteX5" fmla="*/ 134744 w 144859"/>
                  <a:gd name="connsiteY5" fmla="*/ 37171 h 79538"/>
                  <a:gd name="connsiteX6" fmla="*/ 130098 w 144859"/>
                  <a:gd name="connsiteY6" fmla="*/ 0 h 79538"/>
                  <a:gd name="connsiteX7" fmla="*/ 102220 w 144859"/>
                  <a:gd name="connsiteY7" fmla="*/ 4647 h 79538"/>
                  <a:gd name="connsiteX8" fmla="*/ 88281 w 144859"/>
                  <a:gd name="connsiteY8" fmla="*/ 13940 h 79538"/>
                  <a:gd name="connsiteX9" fmla="*/ 60403 w 144859"/>
                  <a:gd name="connsiteY9" fmla="*/ 23232 h 79538"/>
                  <a:gd name="connsiteX10" fmla="*/ 46464 w 144859"/>
                  <a:gd name="connsiteY10" fmla="*/ 27879 h 79538"/>
                  <a:gd name="connsiteX11" fmla="*/ 0 w 144859"/>
                  <a:gd name="connsiteY11" fmla="*/ 55757 h 7953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144859" h="79538">
                    <a:moveTo>
                      <a:pt x="0" y="55757"/>
                    </a:moveTo>
                    <a:lnTo>
                      <a:pt x="0" y="55757"/>
                    </a:lnTo>
                    <a:cubicBezTo>
                      <a:pt x="36263" y="81658"/>
                      <a:pt x="23589" y="83910"/>
                      <a:pt x="65049" y="74342"/>
                    </a:cubicBezTo>
                    <a:cubicBezTo>
                      <a:pt x="74594" y="72139"/>
                      <a:pt x="92927" y="65049"/>
                      <a:pt x="92927" y="65049"/>
                    </a:cubicBezTo>
                    <a:cubicBezTo>
                      <a:pt x="103205" y="54771"/>
                      <a:pt x="107866" y="48288"/>
                      <a:pt x="120805" y="41818"/>
                    </a:cubicBezTo>
                    <a:cubicBezTo>
                      <a:pt x="125186" y="39628"/>
                      <a:pt x="130098" y="38720"/>
                      <a:pt x="134744" y="37171"/>
                    </a:cubicBezTo>
                    <a:cubicBezTo>
                      <a:pt x="145803" y="3995"/>
                      <a:pt x="152187" y="14727"/>
                      <a:pt x="130098" y="0"/>
                    </a:cubicBezTo>
                    <a:cubicBezTo>
                      <a:pt x="120805" y="1549"/>
                      <a:pt x="111157" y="1668"/>
                      <a:pt x="102220" y="4647"/>
                    </a:cubicBezTo>
                    <a:cubicBezTo>
                      <a:pt x="96922" y="6413"/>
                      <a:pt x="93384" y="11672"/>
                      <a:pt x="88281" y="13940"/>
                    </a:cubicBezTo>
                    <a:cubicBezTo>
                      <a:pt x="79330" y="17918"/>
                      <a:pt x="69696" y="20134"/>
                      <a:pt x="60403" y="23232"/>
                    </a:cubicBezTo>
                    <a:lnTo>
                      <a:pt x="46464" y="27879"/>
                    </a:lnTo>
                    <a:cubicBezTo>
                      <a:pt x="17297" y="37603"/>
                      <a:pt x="7744" y="51111"/>
                      <a:pt x="0" y="55757"/>
                    </a:cubicBezTo>
                    <a:close/>
                  </a:path>
                </a:pathLst>
              </a:cu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grpSp>
      </xdr:grpSp>
      <xdr:grpSp>
        <xdr:nvGrpSpPr>
          <xdr:cNvPr id="2089077" name="Group 1"/>
          <xdr:cNvGrpSpPr>
            <a:grpSpLocks/>
          </xdr:cNvGrpSpPr>
        </xdr:nvGrpSpPr>
        <xdr:grpSpPr bwMode="auto">
          <a:xfrm>
            <a:off x="4171950" y="1038226"/>
            <a:ext cx="648000" cy="648000"/>
            <a:chOff x="5610225" y="990600"/>
            <a:chExt cx="648000" cy="648000"/>
          </a:xfrm>
        </xdr:grpSpPr>
        <xdr:sp macro="" textlink="">
          <xdr:nvSpPr>
            <xdr:cNvPr id="236" name="Oval 235"/>
            <xdr:cNvSpPr/>
          </xdr:nvSpPr>
          <xdr:spPr bwMode="auto">
            <a:xfrm>
              <a:off x="5610225" y="990599"/>
              <a:ext cx="647700" cy="647700"/>
            </a:xfrm>
            <a:prstGeom prst="ellipse">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grpSp>
          <xdr:nvGrpSpPr>
            <xdr:cNvPr id="2089094" name="Group 236"/>
            <xdr:cNvGrpSpPr>
              <a:grpSpLocks/>
            </xdr:cNvGrpSpPr>
          </xdr:nvGrpSpPr>
          <xdr:grpSpPr bwMode="auto">
            <a:xfrm>
              <a:off x="5694107" y="1088127"/>
              <a:ext cx="466433" cy="465953"/>
              <a:chOff x="5153025" y="2628900"/>
              <a:chExt cx="857250" cy="866775"/>
            </a:xfrm>
          </xdr:grpSpPr>
          <xdr:sp macro="" textlink="">
            <xdr:nvSpPr>
              <xdr:cNvPr id="238" name="5-Point Star 237"/>
              <xdr:cNvSpPr/>
            </xdr:nvSpPr>
            <xdr:spPr>
              <a:xfrm>
                <a:off x="5506529" y="2465195"/>
                <a:ext cx="140047" cy="265779"/>
              </a:xfrm>
              <a:prstGeom prst="star5">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39" name="5-Point Star 238"/>
              <xdr:cNvSpPr/>
            </xdr:nvSpPr>
            <xdr:spPr>
              <a:xfrm>
                <a:off x="5681588" y="2589225"/>
                <a:ext cx="157553" cy="194905"/>
              </a:xfrm>
              <a:prstGeom prst="star5">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40" name="5-Point Star 239"/>
              <xdr:cNvSpPr/>
            </xdr:nvSpPr>
            <xdr:spPr>
              <a:xfrm>
                <a:off x="5856646" y="2961316"/>
                <a:ext cx="157553" cy="177186"/>
              </a:xfrm>
              <a:prstGeom prst="star5">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41" name="5-Point Star 240"/>
              <xdr:cNvSpPr/>
            </xdr:nvSpPr>
            <xdr:spPr>
              <a:xfrm>
                <a:off x="5821635" y="3191657"/>
                <a:ext cx="140047" cy="177186"/>
              </a:xfrm>
              <a:prstGeom prst="star5">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42" name="5-Point Star 241"/>
              <xdr:cNvSpPr/>
            </xdr:nvSpPr>
            <xdr:spPr>
              <a:xfrm>
                <a:off x="5664082" y="3315688"/>
                <a:ext cx="157553" cy="159467"/>
              </a:xfrm>
              <a:prstGeom prst="star5">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43" name="5-Point Star 242"/>
              <xdr:cNvSpPr/>
            </xdr:nvSpPr>
            <xdr:spPr>
              <a:xfrm>
                <a:off x="5821635" y="2748693"/>
                <a:ext cx="157553" cy="194905"/>
              </a:xfrm>
              <a:prstGeom prst="star5">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44" name="5-Point Star 243"/>
              <xdr:cNvSpPr/>
            </xdr:nvSpPr>
            <xdr:spPr>
              <a:xfrm>
                <a:off x="5506529" y="3368843"/>
                <a:ext cx="140047" cy="159467"/>
              </a:xfrm>
              <a:prstGeom prst="star5">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45" name="5-Point Star 244"/>
              <xdr:cNvSpPr/>
            </xdr:nvSpPr>
            <xdr:spPr>
              <a:xfrm>
                <a:off x="5156412" y="2996753"/>
                <a:ext cx="157553" cy="159467"/>
              </a:xfrm>
              <a:prstGeom prst="star5">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46" name="5-Point Star 245"/>
              <xdr:cNvSpPr/>
            </xdr:nvSpPr>
            <xdr:spPr>
              <a:xfrm>
                <a:off x="5331471" y="3315688"/>
                <a:ext cx="157553" cy="159467"/>
              </a:xfrm>
              <a:prstGeom prst="star5">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47" name="5-Point Star 246"/>
              <xdr:cNvSpPr/>
            </xdr:nvSpPr>
            <xdr:spPr>
              <a:xfrm>
                <a:off x="5208930" y="3173939"/>
                <a:ext cx="140047" cy="177186"/>
              </a:xfrm>
              <a:prstGeom prst="star5">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48" name="5-Point Star 247"/>
              <xdr:cNvSpPr/>
            </xdr:nvSpPr>
            <xdr:spPr>
              <a:xfrm>
                <a:off x="5191424" y="2766411"/>
                <a:ext cx="157553" cy="194905"/>
              </a:xfrm>
              <a:prstGeom prst="star5">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49" name="5-Point Star 248"/>
              <xdr:cNvSpPr/>
            </xdr:nvSpPr>
            <xdr:spPr>
              <a:xfrm>
                <a:off x="5313965" y="2606944"/>
                <a:ext cx="157553" cy="230342"/>
              </a:xfrm>
              <a:prstGeom prst="star5">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grpSp>
      </xdr:grpSp>
      <xdr:sp macro="" textlink="$B$26">
        <xdr:nvSpPr>
          <xdr:cNvPr id="221" name="TextBox 220"/>
          <xdr:cNvSpPr txBox="1"/>
        </xdr:nvSpPr>
        <xdr:spPr bwMode="auto">
          <a:xfrm>
            <a:off x="142875" y="2238375"/>
            <a:ext cx="2019300"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r"/>
            <a:fld id="{CAAFB636-2C2A-4D7C-BF01-8E5C5D6B8D24}" type="TxLink">
              <a:rPr lang="en-GB" sz="1200" b="0"/>
              <a:pPr algn="r"/>
              <a:t>Number of students</a:t>
            </a:fld>
            <a:endParaRPr lang="en-GB" sz="1200" b="0"/>
          </a:p>
        </xdr:txBody>
      </xdr:sp>
      <xdr:sp macro="" textlink="$D$26">
        <xdr:nvSpPr>
          <xdr:cNvPr id="222" name="TextBox 221"/>
          <xdr:cNvSpPr txBox="1"/>
        </xdr:nvSpPr>
        <xdr:spPr bwMode="auto">
          <a:xfrm>
            <a:off x="142875" y="2638425"/>
            <a:ext cx="2019300"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r"/>
            <a:fld id="{7818C876-7BCF-4CEE-A97F-857D68347555}" type="TxLink">
              <a:rPr lang="en-GB" sz="1200" b="0"/>
              <a:pPr algn="r"/>
              <a:t>Total support</a:t>
            </a:fld>
            <a:endParaRPr lang="en-GB" sz="1200" b="0"/>
          </a:p>
        </xdr:txBody>
      </xdr:sp>
      <xdr:sp macro="" textlink="$F$26">
        <xdr:nvSpPr>
          <xdr:cNvPr id="223" name="TextBox 222"/>
          <xdr:cNvSpPr txBox="1"/>
        </xdr:nvSpPr>
        <xdr:spPr bwMode="auto">
          <a:xfrm>
            <a:off x="180975" y="3038475"/>
            <a:ext cx="1981200" cy="276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r"/>
            <a:fld id="{7B857DB8-ECFB-47DF-B619-5DED63090A04}" type="TxLink">
              <a:rPr lang="en-GB" sz="1200" b="0"/>
              <a:pPr algn="r"/>
              <a:t>Average support per student</a:t>
            </a:fld>
            <a:endParaRPr lang="en-GB" sz="1200" b="0"/>
          </a:p>
        </xdr:txBody>
      </xdr:sp>
      <xdr:sp macro="" textlink="$B$28">
        <xdr:nvSpPr>
          <xdr:cNvPr id="224" name="TextBox 223"/>
          <xdr:cNvSpPr txBox="1"/>
        </xdr:nvSpPr>
        <xdr:spPr bwMode="auto">
          <a:xfrm>
            <a:off x="2571750" y="2238375"/>
            <a:ext cx="771525"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07C56800-4BC3-4396-AEF4-2A63D822FE84}" type="TxLink">
              <a:rPr lang="en-GB" sz="1200" b="1"/>
              <a:pPr/>
              <a:t>132,680</a:t>
            </a:fld>
            <a:endParaRPr lang="en-GB" sz="1200" b="1"/>
          </a:p>
        </xdr:txBody>
      </xdr:sp>
      <xdr:sp macro="" textlink="$D$28">
        <xdr:nvSpPr>
          <xdr:cNvPr id="225" name="TextBox 224"/>
          <xdr:cNvSpPr txBox="1"/>
        </xdr:nvSpPr>
        <xdr:spPr bwMode="auto">
          <a:xfrm>
            <a:off x="2571750" y="2638425"/>
            <a:ext cx="123825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79546B93-C025-4730-BE28-E67DE62A32E1}" type="TxLink">
              <a:rPr lang="en-GB" sz="1200" b="1"/>
              <a:pPr/>
              <a:t>£850.8 million</a:t>
            </a:fld>
            <a:endParaRPr lang="en-GB" sz="1200" b="1"/>
          </a:p>
        </xdr:txBody>
      </xdr:sp>
      <xdr:sp macro="" textlink="$F$28">
        <xdr:nvSpPr>
          <xdr:cNvPr id="226" name="TextBox 225"/>
          <xdr:cNvSpPr txBox="1"/>
        </xdr:nvSpPr>
        <xdr:spPr bwMode="auto">
          <a:xfrm>
            <a:off x="2571750" y="3038475"/>
            <a:ext cx="685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855A1628-6794-4DF2-A10E-95501B4A19CB}" type="TxLink">
              <a:rPr lang="en-GB" sz="1200" b="1"/>
              <a:pPr/>
              <a:t>£6,410</a:t>
            </a:fld>
            <a:endParaRPr lang="en-GB" sz="1200" b="1"/>
          </a:p>
        </xdr:txBody>
      </xdr:sp>
      <xdr:sp macro="" textlink="$B$27">
        <xdr:nvSpPr>
          <xdr:cNvPr id="227" name="TextBox 226"/>
          <xdr:cNvSpPr txBox="1"/>
        </xdr:nvSpPr>
        <xdr:spPr bwMode="auto">
          <a:xfrm>
            <a:off x="5343525" y="2238375"/>
            <a:ext cx="771525"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82BC9D9C-D880-4D7F-8814-67C27AB5AB40}" type="TxLink">
              <a:rPr lang="en-GB" sz="1200" b="1"/>
              <a:pPr/>
              <a:t>147,920</a:t>
            </a:fld>
            <a:endParaRPr lang="en-GB" sz="1200" b="1"/>
          </a:p>
        </xdr:txBody>
      </xdr:sp>
      <xdr:sp macro="" textlink="$D$27">
        <xdr:nvSpPr>
          <xdr:cNvPr id="228" name="TextBox 227"/>
          <xdr:cNvSpPr txBox="1"/>
        </xdr:nvSpPr>
        <xdr:spPr bwMode="auto">
          <a:xfrm>
            <a:off x="5343525" y="2638425"/>
            <a:ext cx="123825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45274A15-D7F8-439E-A041-24DB26FD59AD}" type="TxLink">
              <a:rPr lang="en-GB" sz="1200" b="1"/>
              <a:pPr/>
              <a:t>£882.7 million</a:t>
            </a:fld>
            <a:endParaRPr lang="en-GB" sz="1200" b="1"/>
          </a:p>
        </xdr:txBody>
      </xdr:sp>
      <xdr:sp macro="" textlink="$F$27">
        <xdr:nvSpPr>
          <xdr:cNvPr id="229" name="TextBox 228"/>
          <xdr:cNvSpPr txBox="1"/>
        </xdr:nvSpPr>
        <xdr:spPr bwMode="auto">
          <a:xfrm>
            <a:off x="5343525" y="3038475"/>
            <a:ext cx="685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6B484275-6A12-4D83-9232-881BD63B5EB3}" type="TxLink">
              <a:rPr lang="en-GB" sz="1200" b="1"/>
              <a:pPr/>
              <a:t>£5,970</a:t>
            </a:fld>
            <a:endParaRPr lang="en-GB" sz="1200" b="1"/>
          </a:p>
        </xdr:txBody>
      </xdr:sp>
      <xdr:sp macro="" textlink="$B$29">
        <xdr:nvSpPr>
          <xdr:cNvPr id="230" name="TextBox 229"/>
          <xdr:cNvSpPr txBox="1"/>
        </xdr:nvSpPr>
        <xdr:spPr bwMode="auto">
          <a:xfrm>
            <a:off x="3990975" y="2238375"/>
            <a:ext cx="685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B848F565-413C-411D-8A18-AA48FD9D9616}" type="TxLink">
              <a:rPr lang="en-GB" sz="1200" b="1"/>
              <a:pPr/>
              <a:t>15,240</a:t>
            </a:fld>
            <a:endParaRPr lang="en-GB" sz="1200" b="1"/>
          </a:p>
        </xdr:txBody>
      </xdr:sp>
      <xdr:sp macro="" textlink="$D$29">
        <xdr:nvSpPr>
          <xdr:cNvPr id="231" name="TextBox 230"/>
          <xdr:cNvSpPr txBox="1"/>
        </xdr:nvSpPr>
        <xdr:spPr bwMode="auto">
          <a:xfrm>
            <a:off x="3990975" y="2638425"/>
            <a:ext cx="1152525"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AB14026B-7E1F-43B9-B825-606442EF76CE}" type="TxLink">
              <a:rPr lang="en-GB" sz="1200" b="1"/>
              <a:pPr/>
              <a:t>£32.0 million</a:t>
            </a:fld>
            <a:endParaRPr lang="en-GB" sz="1200" b="1"/>
          </a:p>
        </xdr:txBody>
      </xdr:sp>
      <xdr:sp macro="" textlink="$F$29">
        <xdr:nvSpPr>
          <xdr:cNvPr id="232" name="TextBox 231"/>
          <xdr:cNvSpPr txBox="1"/>
        </xdr:nvSpPr>
        <xdr:spPr bwMode="auto">
          <a:xfrm>
            <a:off x="3990975" y="3038475"/>
            <a:ext cx="685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C8F5312F-AFD2-4C58-8A10-A6148B90D893}" type="TxLink">
              <a:rPr lang="en-GB" sz="1200" b="1"/>
              <a:pPr/>
              <a:t>£2,100</a:t>
            </a:fld>
            <a:endParaRPr lang="en-GB" sz="1200" b="1"/>
          </a:p>
        </xdr:txBody>
      </xdr:sp>
      <xdr:sp macro="" textlink="$A$28">
        <xdr:nvSpPr>
          <xdr:cNvPr id="233" name="TextBox 232"/>
          <xdr:cNvSpPr txBox="1"/>
        </xdr:nvSpPr>
        <xdr:spPr bwMode="auto">
          <a:xfrm>
            <a:off x="2400300" y="1838325"/>
            <a:ext cx="1352550"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BEB58E75-AFA0-48F5-9286-7CF5E421EB2D}" type="TxLink">
              <a:rPr lang="en-GB" sz="1200" b="0"/>
              <a:pPr/>
              <a:t>Scottish Domiciles</a:t>
            </a:fld>
            <a:endParaRPr lang="en-GB" sz="1200" b="0"/>
          </a:p>
        </xdr:txBody>
      </xdr:sp>
      <xdr:sp macro="" textlink="$A$27">
        <xdr:nvSpPr>
          <xdr:cNvPr id="234" name="TextBox 233"/>
          <xdr:cNvSpPr txBox="1"/>
        </xdr:nvSpPr>
        <xdr:spPr bwMode="auto">
          <a:xfrm>
            <a:off x="5572125" y="1838325"/>
            <a:ext cx="514350"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DC86417E-9C25-4AFA-9ACC-58EBB868F52B}" type="TxLink">
              <a:rPr lang="en-GB" sz="1200" b="0"/>
              <a:pPr/>
              <a:t>Total</a:t>
            </a:fld>
            <a:endParaRPr lang="en-GB" sz="1200" b="0"/>
          </a:p>
        </xdr:txBody>
      </xdr:sp>
      <xdr:sp macro="" textlink="$A$29">
        <xdr:nvSpPr>
          <xdr:cNvPr id="235" name="TextBox 234"/>
          <xdr:cNvSpPr txBox="1"/>
        </xdr:nvSpPr>
        <xdr:spPr bwMode="auto">
          <a:xfrm>
            <a:off x="3990975" y="1838325"/>
            <a:ext cx="1019175"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5F4AAC67-868D-4085-A437-9B14B69333BA}" type="TxLink">
              <a:rPr lang="en-GB" sz="1200" b="0"/>
              <a:pPr/>
              <a:t>EU Domiciles</a:t>
            </a:fld>
            <a:endParaRPr lang="en-GB" sz="1200" b="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199644</xdr:colOff>
      <xdr:row>3</xdr:row>
      <xdr:rowOff>57531</xdr:rowOff>
    </xdr:from>
    <xdr:to>
      <xdr:col>8</xdr:col>
      <xdr:colOff>404769</xdr:colOff>
      <xdr:row>18</xdr:row>
      <xdr:rowOff>135128</xdr:rowOff>
    </xdr:to>
    <xdr:grpSp>
      <xdr:nvGrpSpPr>
        <xdr:cNvPr id="2" name="Group 1"/>
        <xdr:cNvGrpSpPr/>
      </xdr:nvGrpSpPr>
      <xdr:grpSpPr>
        <a:xfrm>
          <a:off x="199644" y="790956"/>
          <a:ext cx="6634500" cy="3077972"/>
          <a:chOff x="199644" y="790956"/>
          <a:chExt cx="6634500" cy="3077972"/>
        </a:xfrm>
      </xdr:grpSpPr>
      <xdr:grpSp>
        <xdr:nvGrpSpPr>
          <xdr:cNvPr id="2123983" name="Group 182"/>
          <xdr:cNvGrpSpPr>
            <a:grpSpLocks/>
          </xdr:cNvGrpSpPr>
        </xdr:nvGrpSpPr>
        <xdr:grpSpPr bwMode="auto">
          <a:xfrm>
            <a:off x="199644" y="790956"/>
            <a:ext cx="6634500" cy="3077972"/>
            <a:chOff x="419100" y="714375"/>
            <a:chExt cx="6324969" cy="3190875"/>
          </a:xfrm>
        </xdr:grpSpPr>
        <xdr:grpSp>
          <xdr:nvGrpSpPr>
            <xdr:cNvPr id="2123984" name="Group 56"/>
            <xdr:cNvGrpSpPr>
              <a:grpSpLocks/>
            </xdr:cNvGrpSpPr>
          </xdr:nvGrpSpPr>
          <xdr:grpSpPr bwMode="auto">
            <a:xfrm>
              <a:off x="419100" y="714375"/>
              <a:ext cx="3240115" cy="3190875"/>
              <a:chOff x="792000" y="792000"/>
              <a:chExt cx="7851913" cy="7848000"/>
            </a:xfrm>
          </xdr:grpSpPr>
          <xdr:sp macro="" textlink="">
            <xdr:nvSpPr>
              <xdr:cNvPr id="215" name="Icon_1_1"/>
              <xdr:cNvSpPr>
                <a:spLocks noChangeAspect="1"/>
              </xdr:cNvSpPr>
            </xdr:nvSpPr>
            <xdr:spPr>
              <a:xfrm>
                <a:off x="792000" y="792000"/>
                <a:ext cx="718022" cy="726233"/>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16" name="Icon_1_2"/>
              <xdr:cNvSpPr>
                <a:spLocks noChangeAspect="1"/>
              </xdr:cNvSpPr>
            </xdr:nvSpPr>
            <xdr:spPr>
              <a:xfrm>
                <a:off x="1579507" y="792000"/>
                <a:ext cx="741183" cy="726233"/>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17" name="Icon_1_3"/>
              <xdr:cNvSpPr>
                <a:spLocks noChangeAspect="1"/>
              </xdr:cNvSpPr>
            </xdr:nvSpPr>
            <xdr:spPr>
              <a:xfrm>
                <a:off x="2390177" y="792000"/>
                <a:ext cx="718022" cy="726233"/>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18" name="Icon_1_4"/>
              <xdr:cNvSpPr>
                <a:spLocks noChangeAspect="1"/>
              </xdr:cNvSpPr>
            </xdr:nvSpPr>
            <xdr:spPr>
              <a:xfrm>
                <a:off x="3177684" y="792000"/>
                <a:ext cx="718022" cy="726233"/>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19" name="Icon_1_5"/>
              <xdr:cNvSpPr>
                <a:spLocks noChangeAspect="1"/>
              </xdr:cNvSpPr>
            </xdr:nvSpPr>
            <xdr:spPr>
              <a:xfrm>
                <a:off x="3965192" y="792000"/>
                <a:ext cx="718022" cy="726233"/>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20" name="Icon_1_6"/>
              <xdr:cNvSpPr>
                <a:spLocks noChangeAspect="1"/>
              </xdr:cNvSpPr>
            </xdr:nvSpPr>
            <xdr:spPr>
              <a:xfrm>
                <a:off x="4775861" y="792000"/>
                <a:ext cx="718022" cy="726233"/>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21" name="Icon_1_7"/>
              <xdr:cNvSpPr>
                <a:spLocks noChangeAspect="1"/>
              </xdr:cNvSpPr>
            </xdr:nvSpPr>
            <xdr:spPr>
              <a:xfrm>
                <a:off x="5563369" y="792000"/>
                <a:ext cx="718022" cy="726233"/>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22" name="Icon_1_8"/>
              <xdr:cNvSpPr>
                <a:spLocks noChangeAspect="1"/>
              </xdr:cNvSpPr>
            </xdr:nvSpPr>
            <xdr:spPr>
              <a:xfrm>
                <a:off x="6350876" y="792000"/>
                <a:ext cx="718022" cy="726233"/>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23" name="Icon_1_9"/>
              <xdr:cNvSpPr>
                <a:spLocks noChangeAspect="1"/>
              </xdr:cNvSpPr>
            </xdr:nvSpPr>
            <xdr:spPr>
              <a:xfrm>
                <a:off x="7138384" y="792000"/>
                <a:ext cx="718022" cy="726233"/>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24" name="Icon_1_10"/>
              <xdr:cNvSpPr>
                <a:spLocks noChangeAspect="1"/>
              </xdr:cNvSpPr>
            </xdr:nvSpPr>
            <xdr:spPr>
              <a:xfrm>
                <a:off x="7925891" y="792000"/>
                <a:ext cx="718022" cy="726233"/>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25" name="Icon_2_1"/>
              <xdr:cNvSpPr>
                <a:spLocks noChangeAspect="1"/>
              </xdr:cNvSpPr>
            </xdr:nvSpPr>
            <xdr:spPr>
              <a:xfrm>
                <a:off x="792000" y="1588513"/>
                <a:ext cx="718022" cy="726233"/>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26" name="Icon_2_2"/>
              <xdr:cNvSpPr>
                <a:spLocks noChangeAspect="1"/>
              </xdr:cNvSpPr>
            </xdr:nvSpPr>
            <xdr:spPr>
              <a:xfrm>
                <a:off x="1579507" y="1588513"/>
                <a:ext cx="741183" cy="726233"/>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27" name="Icon_2_3"/>
              <xdr:cNvSpPr>
                <a:spLocks noChangeAspect="1"/>
              </xdr:cNvSpPr>
            </xdr:nvSpPr>
            <xdr:spPr>
              <a:xfrm>
                <a:off x="2390177" y="1588513"/>
                <a:ext cx="718022" cy="726233"/>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28" name="Icon_2_4"/>
              <xdr:cNvSpPr>
                <a:spLocks noChangeAspect="1"/>
              </xdr:cNvSpPr>
            </xdr:nvSpPr>
            <xdr:spPr>
              <a:xfrm>
                <a:off x="3177684" y="1588513"/>
                <a:ext cx="718022" cy="726233"/>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29" name="Icon_2_5"/>
              <xdr:cNvSpPr>
                <a:spLocks noChangeAspect="1"/>
              </xdr:cNvSpPr>
            </xdr:nvSpPr>
            <xdr:spPr>
              <a:xfrm>
                <a:off x="3965192" y="1588513"/>
                <a:ext cx="718022" cy="726233"/>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30" name="Icon_2_6"/>
              <xdr:cNvSpPr>
                <a:spLocks noChangeAspect="1"/>
              </xdr:cNvSpPr>
            </xdr:nvSpPr>
            <xdr:spPr>
              <a:xfrm>
                <a:off x="4775861" y="1588513"/>
                <a:ext cx="718022" cy="726233"/>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31" name="Icon_2_7"/>
              <xdr:cNvSpPr>
                <a:spLocks noChangeAspect="1"/>
              </xdr:cNvSpPr>
            </xdr:nvSpPr>
            <xdr:spPr>
              <a:xfrm>
                <a:off x="5563369" y="1588513"/>
                <a:ext cx="718022" cy="726233"/>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32" name="Icon_2_8"/>
              <xdr:cNvSpPr>
                <a:spLocks noChangeAspect="1"/>
              </xdr:cNvSpPr>
            </xdr:nvSpPr>
            <xdr:spPr>
              <a:xfrm>
                <a:off x="6350876" y="1588513"/>
                <a:ext cx="718022" cy="726233"/>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33" name="Icon_2_9"/>
              <xdr:cNvSpPr>
                <a:spLocks noChangeAspect="1"/>
              </xdr:cNvSpPr>
            </xdr:nvSpPr>
            <xdr:spPr>
              <a:xfrm>
                <a:off x="7138384" y="1588513"/>
                <a:ext cx="718022" cy="726233"/>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34" name="Icon_2_10"/>
              <xdr:cNvSpPr>
                <a:spLocks noChangeAspect="1"/>
              </xdr:cNvSpPr>
            </xdr:nvSpPr>
            <xdr:spPr>
              <a:xfrm>
                <a:off x="7925891" y="1588513"/>
                <a:ext cx="718022" cy="726233"/>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35" name="Icon_3_1"/>
              <xdr:cNvSpPr>
                <a:spLocks noChangeAspect="1"/>
              </xdr:cNvSpPr>
            </xdr:nvSpPr>
            <xdr:spPr>
              <a:xfrm>
                <a:off x="792000" y="2385027"/>
                <a:ext cx="718022" cy="702806"/>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36" name="Icon_3_2"/>
              <xdr:cNvSpPr>
                <a:spLocks noChangeAspect="1"/>
              </xdr:cNvSpPr>
            </xdr:nvSpPr>
            <xdr:spPr>
              <a:xfrm>
                <a:off x="1579507" y="2385027"/>
                <a:ext cx="741183" cy="702806"/>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37" name="Icon_3_3"/>
              <xdr:cNvSpPr>
                <a:spLocks noChangeAspect="1"/>
              </xdr:cNvSpPr>
            </xdr:nvSpPr>
            <xdr:spPr>
              <a:xfrm>
                <a:off x="2390177" y="2385027"/>
                <a:ext cx="718022" cy="702806"/>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38" name="Icon_3_4"/>
              <xdr:cNvSpPr>
                <a:spLocks noChangeAspect="1"/>
              </xdr:cNvSpPr>
            </xdr:nvSpPr>
            <xdr:spPr>
              <a:xfrm>
                <a:off x="3177684" y="2385027"/>
                <a:ext cx="718022" cy="702806"/>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39" name="Icon_3_5"/>
              <xdr:cNvSpPr>
                <a:spLocks noChangeAspect="1"/>
              </xdr:cNvSpPr>
            </xdr:nvSpPr>
            <xdr:spPr>
              <a:xfrm>
                <a:off x="3965192" y="2385027"/>
                <a:ext cx="718022" cy="702806"/>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40" name="Icon_3_6"/>
              <xdr:cNvSpPr>
                <a:spLocks noChangeAspect="1"/>
              </xdr:cNvSpPr>
            </xdr:nvSpPr>
            <xdr:spPr>
              <a:xfrm>
                <a:off x="4775861" y="2385027"/>
                <a:ext cx="718022" cy="702806"/>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41" name="Icon_3_7"/>
              <xdr:cNvSpPr>
                <a:spLocks noChangeAspect="1"/>
              </xdr:cNvSpPr>
            </xdr:nvSpPr>
            <xdr:spPr>
              <a:xfrm>
                <a:off x="5563369" y="2385027"/>
                <a:ext cx="718022" cy="702806"/>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42" name="Icon_3_8"/>
              <xdr:cNvSpPr>
                <a:spLocks noChangeAspect="1"/>
              </xdr:cNvSpPr>
            </xdr:nvSpPr>
            <xdr:spPr>
              <a:xfrm>
                <a:off x="6350876" y="2385027"/>
                <a:ext cx="718022" cy="702806"/>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43" name="Icon_3_9"/>
              <xdr:cNvSpPr>
                <a:spLocks noChangeAspect="1"/>
              </xdr:cNvSpPr>
            </xdr:nvSpPr>
            <xdr:spPr>
              <a:xfrm>
                <a:off x="7138384" y="2385027"/>
                <a:ext cx="718022" cy="702806"/>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44" name="Icon_3_10"/>
              <xdr:cNvSpPr>
                <a:spLocks noChangeAspect="1"/>
              </xdr:cNvSpPr>
            </xdr:nvSpPr>
            <xdr:spPr>
              <a:xfrm>
                <a:off x="7925891" y="2385027"/>
                <a:ext cx="718022" cy="702806"/>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45" name="Icon_4_1"/>
              <xdr:cNvSpPr>
                <a:spLocks noChangeAspect="1"/>
              </xdr:cNvSpPr>
            </xdr:nvSpPr>
            <xdr:spPr>
              <a:xfrm>
                <a:off x="792000" y="3158113"/>
                <a:ext cx="718022" cy="726233"/>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46" name="Icon_4_2"/>
              <xdr:cNvSpPr>
                <a:spLocks noChangeAspect="1"/>
              </xdr:cNvSpPr>
            </xdr:nvSpPr>
            <xdr:spPr>
              <a:xfrm>
                <a:off x="1579507" y="3158113"/>
                <a:ext cx="741183" cy="726233"/>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47" name="Icon_4_3"/>
              <xdr:cNvSpPr>
                <a:spLocks noChangeAspect="1"/>
              </xdr:cNvSpPr>
            </xdr:nvSpPr>
            <xdr:spPr>
              <a:xfrm>
                <a:off x="2390177" y="3158113"/>
                <a:ext cx="718022" cy="726233"/>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48" name="Icon_4_4"/>
              <xdr:cNvSpPr>
                <a:spLocks noChangeAspect="1"/>
              </xdr:cNvSpPr>
            </xdr:nvSpPr>
            <xdr:spPr>
              <a:xfrm>
                <a:off x="3177684" y="3158113"/>
                <a:ext cx="718022" cy="726233"/>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49" name="Icon_4_5"/>
              <xdr:cNvSpPr>
                <a:spLocks noChangeAspect="1"/>
              </xdr:cNvSpPr>
            </xdr:nvSpPr>
            <xdr:spPr>
              <a:xfrm>
                <a:off x="3965192" y="3158113"/>
                <a:ext cx="718022" cy="726233"/>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50" name="Icon_4_6"/>
              <xdr:cNvSpPr>
                <a:spLocks noChangeAspect="1"/>
              </xdr:cNvSpPr>
            </xdr:nvSpPr>
            <xdr:spPr>
              <a:xfrm>
                <a:off x="4775861" y="3158113"/>
                <a:ext cx="718022" cy="726233"/>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51" name="Icon_4_7"/>
              <xdr:cNvSpPr>
                <a:spLocks noChangeAspect="1"/>
              </xdr:cNvSpPr>
            </xdr:nvSpPr>
            <xdr:spPr>
              <a:xfrm>
                <a:off x="5563369" y="3158113"/>
                <a:ext cx="718022" cy="726233"/>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52" name="Icon_4_8"/>
              <xdr:cNvSpPr>
                <a:spLocks noChangeAspect="1"/>
              </xdr:cNvSpPr>
            </xdr:nvSpPr>
            <xdr:spPr>
              <a:xfrm>
                <a:off x="6350876" y="3158113"/>
                <a:ext cx="718022" cy="726233"/>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53" name="Icon_4_9"/>
              <xdr:cNvSpPr>
                <a:spLocks noChangeAspect="1"/>
              </xdr:cNvSpPr>
            </xdr:nvSpPr>
            <xdr:spPr>
              <a:xfrm>
                <a:off x="7138384" y="3158113"/>
                <a:ext cx="718022" cy="726233"/>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54" name="Icon_4_10"/>
              <xdr:cNvSpPr>
                <a:spLocks noChangeAspect="1"/>
              </xdr:cNvSpPr>
            </xdr:nvSpPr>
            <xdr:spPr>
              <a:xfrm>
                <a:off x="7925891" y="3158113"/>
                <a:ext cx="718022" cy="726233"/>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55" name="Icon_5_1"/>
              <xdr:cNvSpPr>
                <a:spLocks noChangeAspect="1"/>
              </xdr:cNvSpPr>
            </xdr:nvSpPr>
            <xdr:spPr>
              <a:xfrm>
                <a:off x="792000" y="3954627"/>
                <a:ext cx="718022" cy="726233"/>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56" name="Icon_5_2"/>
              <xdr:cNvSpPr>
                <a:spLocks noChangeAspect="1"/>
              </xdr:cNvSpPr>
            </xdr:nvSpPr>
            <xdr:spPr>
              <a:xfrm>
                <a:off x="1579507" y="3954627"/>
                <a:ext cx="741183" cy="726233"/>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57" name="Icon_5_3"/>
              <xdr:cNvSpPr>
                <a:spLocks noChangeAspect="1"/>
              </xdr:cNvSpPr>
            </xdr:nvSpPr>
            <xdr:spPr>
              <a:xfrm>
                <a:off x="2390177" y="3954627"/>
                <a:ext cx="718022" cy="726233"/>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58" name="Icon_5_4"/>
              <xdr:cNvSpPr>
                <a:spLocks noChangeAspect="1"/>
              </xdr:cNvSpPr>
            </xdr:nvSpPr>
            <xdr:spPr>
              <a:xfrm>
                <a:off x="3177684" y="3954627"/>
                <a:ext cx="718022" cy="726233"/>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59" name="Icon_5_5"/>
              <xdr:cNvSpPr>
                <a:spLocks noChangeAspect="1"/>
              </xdr:cNvSpPr>
            </xdr:nvSpPr>
            <xdr:spPr>
              <a:xfrm>
                <a:off x="3965192" y="3954627"/>
                <a:ext cx="718022" cy="726233"/>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60" name="Icon_5_6"/>
              <xdr:cNvSpPr>
                <a:spLocks noChangeAspect="1"/>
              </xdr:cNvSpPr>
            </xdr:nvSpPr>
            <xdr:spPr>
              <a:xfrm>
                <a:off x="4775861" y="3954627"/>
                <a:ext cx="718022" cy="726233"/>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61" name="Icon_5_7"/>
              <xdr:cNvSpPr>
                <a:spLocks noChangeAspect="1"/>
              </xdr:cNvSpPr>
            </xdr:nvSpPr>
            <xdr:spPr>
              <a:xfrm>
                <a:off x="5563369" y="3954627"/>
                <a:ext cx="718022" cy="726233"/>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62" name="Icon_5_8"/>
              <xdr:cNvSpPr>
                <a:spLocks noChangeAspect="1"/>
              </xdr:cNvSpPr>
            </xdr:nvSpPr>
            <xdr:spPr>
              <a:xfrm>
                <a:off x="6350876" y="3954627"/>
                <a:ext cx="718022" cy="726233"/>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63" name="Icon_5_9"/>
              <xdr:cNvSpPr>
                <a:spLocks noChangeAspect="1"/>
              </xdr:cNvSpPr>
            </xdr:nvSpPr>
            <xdr:spPr>
              <a:xfrm>
                <a:off x="7138384" y="3954627"/>
                <a:ext cx="718022" cy="726233"/>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64" name="Icon_5_10"/>
              <xdr:cNvSpPr>
                <a:spLocks noChangeAspect="1"/>
              </xdr:cNvSpPr>
            </xdr:nvSpPr>
            <xdr:spPr>
              <a:xfrm>
                <a:off x="7925891" y="3954627"/>
                <a:ext cx="718022" cy="726233"/>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65" name="Icon_6_1"/>
              <xdr:cNvSpPr>
                <a:spLocks noChangeAspect="1"/>
              </xdr:cNvSpPr>
            </xdr:nvSpPr>
            <xdr:spPr>
              <a:xfrm>
                <a:off x="792000" y="4751140"/>
                <a:ext cx="718022" cy="726233"/>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66" name="Icon_6_2"/>
              <xdr:cNvSpPr>
                <a:spLocks noChangeAspect="1"/>
              </xdr:cNvSpPr>
            </xdr:nvSpPr>
            <xdr:spPr>
              <a:xfrm>
                <a:off x="1579507" y="4751140"/>
                <a:ext cx="741183" cy="726233"/>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67" name="Icon_6_3"/>
              <xdr:cNvSpPr>
                <a:spLocks noChangeAspect="1"/>
              </xdr:cNvSpPr>
            </xdr:nvSpPr>
            <xdr:spPr>
              <a:xfrm>
                <a:off x="2390177" y="4751140"/>
                <a:ext cx="718022" cy="726233"/>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68" name="Icon_6_4"/>
              <xdr:cNvSpPr>
                <a:spLocks noChangeAspect="1"/>
              </xdr:cNvSpPr>
            </xdr:nvSpPr>
            <xdr:spPr>
              <a:xfrm>
                <a:off x="3177684" y="4751140"/>
                <a:ext cx="718022" cy="726233"/>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69" name="Icon_6_5"/>
              <xdr:cNvSpPr>
                <a:spLocks noChangeAspect="1"/>
              </xdr:cNvSpPr>
            </xdr:nvSpPr>
            <xdr:spPr>
              <a:xfrm>
                <a:off x="3965192" y="4751140"/>
                <a:ext cx="718022" cy="726233"/>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70" name="Icon_6_6"/>
              <xdr:cNvSpPr>
                <a:spLocks noChangeAspect="1"/>
              </xdr:cNvSpPr>
            </xdr:nvSpPr>
            <xdr:spPr>
              <a:xfrm>
                <a:off x="4775861" y="4751140"/>
                <a:ext cx="718022" cy="726233"/>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71" name="Icon_6_7"/>
              <xdr:cNvSpPr>
                <a:spLocks noChangeAspect="1"/>
              </xdr:cNvSpPr>
            </xdr:nvSpPr>
            <xdr:spPr>
              <a:xfrm>
                <a:off x="5563369" y="4751140"/>
                <a:ext cx="718022" cy="726233"/>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72" name="Icon_6_8"/>
              <xdr:cNvSpPr>
                <a:spLocks noChangeAspect="1"/>
              </xdr:cNvSpPr>
            </xdr:nvSpPr>
            <xdr:spPr>
              <a:xfrm>
                <a:off x="6350876" y="4751140"/>
                <a:ext cx="718022" cy="726233"/>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73" name="Icon_6_9"/>
              <xdr:cNvSpPr>
                <a:spLocks noChangeAspect="1"/>
              </xdr:cNvSpPr>
            </xdr:nvSpPr>
            <xdr:spPr>
              <a:xfrm>
                <a:off x="7138384" y="4751140"/>
                <a:ext cx="718022" cy="726233"/>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74" name="Icon_6_10"/>
              <xdr:cNvSpPr>
                <a:spLocks noChangeAspect="1"/>
              </xdr:cNvSpPr>
            </xdr:nvSpPr>
            <xdr:spPr>
              <a:xfrm>
                <a:off x="7925891" y="4751140"/>
                <a:ext cx="718022" cy="726233"/>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75" name="Icon_7_1"/>
              <xdr:cNvSpPr>
                <a:spLocks noChangeAspect="1"/>
              </xdr:cNvSpPr>
            </xdr:nvSpPr>
            <xdr:spPr>
              <a:xfrm>
                <a:off x="792000" y="5547654"/>
                <a:ext cx="718022" cy="726233"/>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76" name="Icon_7_2"/>
              <xdr:cNvSpPr>
                <a:spLocks noChangeAspect="1"/>
              </xdr:cNvSpPr>
            </xdr:nvSpPr>
            <xdr:spPr>
              <a:xfrm>
                <a:off x="1579507" y="5547654"/>
                <a:ext cx="741183" cy="726233"/>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77" name="Icon_7_3"/>
              <xdr:cNvSpPr>
                <a:spLocks noChangeAspect="1"/>
              </xdr:cNvSpPr>
            </xdr:nvSpPr>
            <xdr:spPr>
              <a:xfrm>
                <a:off x="2390177" y="5547654"/>
                <a:ext cx="718022" cy="726233"/>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78" name="Icon_7_4"/>
              <xdr:cNvSpPr>
                <a:spLocks noChangeAspect="1"/>
              </xdr:cNvSpPr>
            </xdr:nvSpPr>
            <xdr:spPr>
              <a:xfrm>
                <a:off x="3177684" y="5547654"/>
                <a:ext cx="718022" cy="726233"/>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79" name="Icon_7_5"/>
              <xdr:cNvSpPr>
                <a:spLocks noChangeAspect="1"/>
              </xdr:cNvSpPr>
            </xdr:nvSpPr>
            <xdr:spPr>
              <a:xfrm>
                <a:off x="3965192" y="5547654"/>
                <a:ext cx="718022" cy="726233"/>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80" name="Icon_7_6"/>
              <xdr:cNvSpPr>
                <a:spLocks noChangeAspect="1"/>
              </xdr:cNvSpPr>
            </xdr:nvSpPr>
            <xdr:spPr>
              <a:xfrm>
                <a:off x="4775861" y="5547654"/>
                <a:ext cx="718022" cy="726233"/>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81" name="Icon_7_7"/>
              <xdr:cNvSpPr>
                <a:spLocks noChangeAspect="1"/>
              </xdr:cNvSpPr>
            </xdr:nvSpPr>
            <xdr:spPr>
              <a:xfrm>
                <a:off x="5563369" y="5547654"/>
                <a:ext cx="718022" cy="726233"/>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82" name="Icon_7_8"/>
              <xdr:cNvSpPr>
                <a:spLocks noChangeAspect="1"/>
              </xdr:cNvSpPr>
            </xdr:nvSpPr>
            <xdr:spPr>
              <a:xfrm>
                <a:off x="6350876" y="5547654"/>
                <a:ext cx="718022" cy="726233"/>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83" name="Icon_7_9"/>
              <xdr:cNvSpPr>
                <a:spLocks noChangeAspect="1"/>
              </xdr:cNvSpPr>
            </xdr:nvSpPr>
            <xdr:spPr>
              <a:xfrm>
                <a:off x="7138384" y="5547654"/>
                <a:ext cx="718022" cy="726233"/>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84" name="Icon_7_10"/>
              <xdr:cNvSpPr>
                <a:spLocks noChangeAspect="1"/>
              </xdr:cNvSpPr>
            </xdr:nvSpPr>
            <xdr:spPr>
              <a:xfrm>
                <a:off x="7925891" y="5547654"/>
                <a:ext cx="718022" cy="726233"/>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85" name="Icon_8_1"/>
              <xdr:cNvSpPr>
                <a:spLocks noChangeAspect="1"/>
              </xdr:cNvSpPr>
            </xdr:nvSpPr>
            <xdr:spPr>
              <a:xfrm>
                <a:off x="792000" y="6344167"/>
                <a:ext cx="718022" cy="702806"/>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86" name="Icon_8_2"/>
              <xdr:cNvSpPr>
                <a:spLocks noChangeAspect="1"/>
              </xdr:cNvSpPr>
            </xdr:nvSpPr>
            <xdr:spPr>
              <a:xfrm>
                <a:off x="1579507" y="6344167"/>
                <a:ext cx="741183" cy="702806"/>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87" name="Icon_8_3"/>
              <xdr:cNvSpPr>
                <a:spLocks noChangeAspect="1"/>
              </xdr:cNvSpPr>
            </xdr:nvSpPr>
            <xdr:spPr>
              <a:xfrm>
                <a:off x="2390177" y="6344167"/>
                <a:ext cx="718022" cy="702806"/>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88" name="Icon_8_4"/>
              <xdr:cNvSpPr>
                <a:spLocks noChangeAspect="1"/>
              </xdr:cNvSpPr>
            </xdr:nvSpPr>
            <xdr:spPr>
              <a:xfrm>
                <a:off x="3177684" y="6344167"/>
                <a:ext cx="718022" cy="702806"/>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89" name="Icon_8_5"/>
              <xdr:cNvSpPr>
                <a:spLocks noChangeAspect="1"/>
              </xdr:cNvSpPr>
            </xdr:nvSpPr>
            <xdr:spPr>
              <a:xfrm>
                <a:off x="3965192" y="6344167"/>
                <a:ext cx="718022" cy="702806"/>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91" name="Icon_8_7"/>
              <xdr:cNvSpPr>
                <a:spLocks noChangeAspect="1"/>
              </xdr:cNvSpPr>
            </xdr:nvSpPr>
            <xdr:spPr>
              <a:xfrm>
                <a:off x="5563369" y="6344167"/>
                <a:ext cx="718022" cy="702806"/>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92" name="Icon_8_8"/>
              <xdr:cNvSpPr>
                <a:spLocks noChangeAspect="1"/>
              </xdr:cNvSpPr>
            </xdr:nvSpPr>
            <xdr:spPr>
              <a:xfrm>
                <a:off x="6350876" y="6344167"/>
                <a:ext cx="718022" cy="702806"/>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93" name="Icon_8_9"/>
              <xdr:cNvSpPr>
                <a:spLocks noChangeAspect="1"/>
              </xdr:cNvSpPr>
            </xdr:nvSpPr>
            <xdr:spPr>
              <a:xfrm>
                <a:off x="7138384" y="6344167"/>
                <a:ext cx="718022" cy="702806"/>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94" name="Icon_8_10"/>
              <xdr:cNvSpPr>
                <a:spLocks noChangeAspect="1"/>
              </xdr:cNvSpPr>
            </xdr:nvSpPr>
            <xdr:spPr>
              <a:xfrm>
                <a:off x="7925891" y="6344167"/>
                <a:ext cx="718022" cy="702806"/>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95" name="Icon_9_1"/>
              <xdr:cNvSpPr>
                <a:spLocks noChangeAspect="1"/>
              </xdr:cNvSpPr>
            </xdr:nvSpPr>
            <xdr:spPr>
              <a:xfrm>
                <a:off x="792000" y="7117254"/>
                <a:ext cx="718022" cy="726233"/>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96" name="Icon_9_2"/>
              <xdr:cNvSpPr>
                <a:spLocks noChangeAspect="1"/>
              </xdr:cNvSpPr>
            </xdr:nvSpPr>
            <xdr:spPr>
              <a:xfrm>
                <a:off x="1579507" y="7117254"/>
                <a:ext cx="741183" cy="726233"/>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97" name="Icon_9_3"/>
              <xdr:cNvSpPr>
                <a:spLocks noChangeAspect="1"/>
              </xdr:cNvSpPr>
            </xdr:nvSpPr>
            <xdr:spPr>
              <a:xfrm>
                <a:off x="2390177" y="7117254"/>
                <a:ext cx="718022" cy="726233"/>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98" name="Icon_9_4"/>
              <xdr:cNvSpPr>
                <a:spLocks noChangeAspect="1"/>
              </xdr:cNvSpPr>
            </xdr:nvSpPr>
            <xdr:spPr>
              <a:xfrm>
                <a:off x="3177684" y="7117254"/>
                <a:ext cx="718022" cy="726233"/>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99" name="Icon_9_5"/>
              <xdr:cNvSpPr>
                <a:spLocks noChangeAspect="1"/>
              </xdr:cNvSpPr>
            </xdr:nvSpPr>
            <xdr:spPr>
              <a:xfrm>
                <a:off x="3965192" y="7117254"/>
                <a:ext cx="718022" cy="726233"/>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300" name="Icon_9_6"/>
              <xdr:cNvSpPr>
                <a:spLocks noChangeAspect="1"/>
              </xdr:cNvSpPr>
            </xdr:nvSpPr>
            <xdr:spPr>
              <a:xfrm>
                <a:off x="4775861" y="7117254"/>
                <a:ext cx="718022" cy="726233"/>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301" name="Icon_9_7"/>
              <xdr:cNvSpPr>
                <a:spLocks noChangeAspect="1"/>
              </xdr:cNvSpPr>
            </xdr:nvSpPr>
            <xdr:spPr>
              <a:xfrm>
                <a:off x="5563369" y="7117254"/>
                <a:ext cx="718022" cy="726233"/>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302" name="Icon_9_8"/>
              <xdr:cNvSpPr>
                <a:spLocks noChangeAspect="1"/>
              </xdr:cNvSpPr>
            </xdr:nvSpPr>
            <xdr:spPr>
              <a:xfrm>
                <a:off x="6350876" y="7117254"/>
                <a:ext cx="718022" cy="726233"/>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303" name="Icon_9_9"/>
              <xdr:cNvSpPr>
                <a:spLocks noChangeAspect="1"/>
              </xdr:cNvSpPr>
            </xdr:nvSpPr>
            <xdr:spPr>
              <a:xfrm>
                <a:off x="7138384" y="7117254"/>
                <a:ext cx="718022" cy="726233"/>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304" name="Icon_9_10"/>
              <xdr:cNvSpPr>
                <a:spLocks noChangeAspect="1"/>
              </xdr:cNvSpPr>
            </xdr:nvSpPr>
            <xdr:spPr>
              <a:xfrm>
                <a:off x="7925891" y="7117254"/>
                <a:ext cx="718022" cy="726233"/>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305" name="Icon_10_1"/>
              <xdr:cNvSpPr>
                <a:spLocks noChangeAspect="1"/>
              </xdr:cNvSpPr>
            </xdr:nvSpPr>
            <xdr:spPr>
              <a:xfrm>
                <a:off x="792000" y="7913767"/>
                <a:ext cx="718022" cy="726233"/>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306" name="Icon_10_2"/>
              <xdr:cNvSpPr>
                <a:spLocks noChangeAspect="1"/>
              </xdr:cNvSpPr>
            </xdr:nvSpPr>
            <xdr:spPr>
              <a:xfrm>
                <a:off x="1579507" y="7913767"/>
                <a:ext cx="741183" cy="726233"/>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307" name="Icon_10_3"/>
              <xdr:cNvSpPr>
                <a:spLocks noChangeAspect="1"/>
              </xdr:cNvSpPr>
            </xdr:nvSpPr>
            <xdr:spPr>
              <a:xfrm>
                <a:off x="2390177" y="7913767"/>
                <a:ext cx="718022" cy="726233"/>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308" name="Icon_10_4"/>
              <xdr:cNvSpPr>
                <a:spLocks noChangeAspect="1"/>
              </xdr:cNvSpPr>
            </xdr:nvSpPr>
            <xdr:spPr>
              <a:xfrm>
                <a:off x="3177684" y="7913767"/>
                <a:ext cx="718022" cy="726233"/>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309" name="Icon_10_5"/>
              <xdr:cNvSpPr>
                <a:spLocks noChangeAspect="1"/>
              </xdr:cNvSpPr>
            </xdr:nvSpPr>
            <xdr:spPr>
              <a:xfrm>
                <a:off x="3965192" y="7913767"/>
                <a:ext cx="718022" cy="726233"/>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310" name="Icon_10_6"/>
              <xdr:cNvSpPr>
                <a:spLocks noChangeAspect="1"/>
              </xdr:cNvSpPr>
            </xdr:nvSpPr>
            <xdr:spPr>
              <a:xfrm>
                <a:off x="4775861" y="7913767"/>
                <a:ext cx="718022" cy="726233"/>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311" name="Icon_10_7"/>
              <xdr:cNvSpPr>
                <a:spLocks noChangeAspect="1"/>
              </xdr:cNvSpPr>
            </xdr:nvSpPr>
            <xdr:spPr>
              <a:xfrm>
                <a:off x="5563369" y="7913767"/>
                <a:ext cx="718022" cy="726233"/>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312" name="Icon_10_8"/>
              <xdr:cNvSpPr>
                <a:spLocks noChangeAspect="1"/>
              </xdr:cNvSpPr>
            </xdr:nvSpPr>
            <xdr:spPr>
              <a:xfrm>
                <a:off x="6350876" y="7913767"/>
                <a:ext cx="718022" cy="726233"/>
              </a:xfrm>
              <a:prstGeom prst="rect">
                <a:avLst/>
              </a:prstGeom>
              <a:solidFill>
                <a:srgbClr val="81C9B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313" name="Icon_10_9"/>
              <xdr:cNvSpPr>
                <a:spLocks noChangeAspect="1"/>
              </xdr:cNvSpPr>
            </xdr:nvSpPr>
            <xdr:spPr>
              <a:xfrm>
                <a:off x="7138384" y="7913767"/>
                <a:ext cx="718022" cy="726233"/>
              </a:xfrm>
              <a:prstGeom prst="rect">
                <a:avLst/>
              </a:prstGeom>
              <a:solidFill>
                <a:srgbClr val="81C9B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314" name="Icon_10_10"/>
              <xdr:cNvSpPr>
                <a:spLocks noChangeAspect="1"/>
              </xdr:cNvSpPr>
            </xdr:nvSpPr>
            <xdr:spPr>
              <a:xfrm>
                <a:off x="7925891" y="7913767"/>
                <a:ext cx="718022" cy="726233"/>
              </a:xfrm>
              <a:prstGeom prst="rect">
                <a:avLst/>
              </a:prstGeom>
              <a:gradFill flip="none" rotWithShape="1">
                <a:gsLst>
                  <a:gs pos="51000">
                    <a:schemeClr val="bg1">
                      <a:lumMod val="95000"/>
                    </a:schemeClr>
                  </a:gs>
                  <a:gs pos="50000">
                    <a:srgbClr val="81C9BB"/>
                  </a:gs>
                  <a:gs pos="0">
                    <a:srgbClr val="81C9BB"/>
                  </a:gs>
                  <a:gs pos="100000">
                    <a:schemeClr val="bg1">
                      <a:lumMod val="9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grpSp>
        <xdr:grpSp>
          <xdr:nvGrpSpPr>
            <xdr:cNvPr id="2123985" name="Group 186"/>
            <xdr:cNvGrpSpPr>
              <a:grpSpLocks/>
            </xdr:cNvGrpSpPr>
          </xdr:nvGrpSpPr>
          <xdr:grpSpPr bwMode="auto">
            <a:xfrm>
              <a:off x="3850372" y="714375"/>
              <a:ext cx="2893697" cy="2986058"/>
              <a:chOff x="3850372" y="714375"/>
              <a:chExt cx="2893697" cy="2986058"/>
            </a:xfrm>
          </xdr:grpSpPr>
          <xdr:sp macro="" textlink="">
            <xdr:nvSpPr>
              <xdr:cNvPr id="189" name="Legend_9"/>
              <xdr:cNvSpPr>
                <a:spLocks noChangeAspect="1"/>
              </xdr:cNvSpPr>
            </xdr:nvSpPr>
            <xdr:spPr>
              <a:xfrm>
                <a:off x="3945951" y="1057275"/>
                <a:ext cx="296294" cy="295275"/>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190" name="Legend_10"/>
              <xdr:cNvSpPr>
                <a:spLocks noChangeAspect="1"/>
              </xdr:cNvSpPr>
            </xdr:nvSpPr>
            <xdr:spPr>
              <a:xfrm>
                <a:off x="3945951" y="1409700"/>
                <a:ext cx="296294" cy="295275"/>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194" name="Legend_12"/>
              <xdr:cNvSpPr>
                <a:spLocks noChangeAspect="1"/>
              </xdr:cNvSpPr>
            </xdr:nvSpPr>
            <xdr:spPr>
              <a:xfrm>
                <a:off x="3945951" y="2609850"/>
                <a:ext cx="296294" cy="295275"/>
              </a:xfrm>
              <a:prstGeom prst="rect">
                <a:avLst/>
              </a:prstGeom>
              <a:solidFill>
                <a:srgbClr val="81C9B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A27">
            <xdr:nvSpPr>
              <xdr:cNvPr id="195" name="TextBox 194"/>
              <xdr:cNvSpPr txBox="1"/>
            </xdr:nvSpPr>
            <xdr:spPr>
              <a:xfrm>
                <a:off x="3850372" y="714375"/>
                <a:ext cx="966382" cy="3229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618345F0-48A4-44AF-9E1D-8C92B687E6AF}" type="TxLink">
                  <a:rPr lang="en-GB" sz="1400" b="1"/>
                  <a:pPr/>
                  <a:t>In Scotland</a:t>
                </a:fld>
                <a:endParaRPr lang="en-GB" sz="1400" b="1"/>
              </a:p>
            </xdr:txBody>
          </xdr:sp>
          <xdr:sp macro="" textlink="A28">
            <xdr:nvSpPr>
              <xdr:cNvPr id="196" name="TextBox 195"/>
              <xdr:cNvSpPr txBox="1"/>
            </xdr:nvSpPr>
            <xdr:spPr>
              <a:xfrm>
                <a:off x="4299592" y="1057275"/>
                <a:ext cx="875668" cy="2904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714A99F4-B8AD-4713-94E2-DB3A8F9B8EB6}" type="TxLink">
                  <a:rPr lang="en-GB" sz="1200" b="0"/>
                  <a:pPr/>
                  <a:t>Universities</a:t>
                </a:fld>
                <a:endParaRPr lang="en-GB" sz="1200" b="0"/>
              </a:p>
            </xdr:txBody>
          </xdr:sp>
          <xdr:sp macro="" textlink="A29">
            <xdr:nvSpPr>
              <xdr:cNvPr id="197" name="TextBox 196"/>
              <xdr:cNvSpPr txBox="1"/>
            </xdr:nvSpPr>
            <xdr:spPr>
              <a:xfrm>
                <a:off x="4299592" y="1409700"/>
                <a:ext cx="671498" cy="2904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8ECE82A0-844A-4377-AA83-95CA8B953774}" type="TxLink">
                  <a:rPr lang="en-GB" sz="1200" b="0"/>
                  <a:pPr/>
                  <a:t>Colleges</a:t>
                </a:fld>
                <a:endParaRPr lang="en-GB" sz="1200" b="0"/>
              </a:p>
            </xdr:txBody>
          </xdr:sp>
          <xdr:sp macro="" textlink="A30">
            <xdr:nvSpPr>
              <xdr:cNvPr id="199" name="TextBox 198"/>
              <xdr:cNvSpPr txBox="1"/>
            </xdr:nvSpPr>
            <xdr:spPr>
              <a:xfrm>
                <a:off x="4299592" y="1809750"/>
                <a:ext cx="523567" cy="2904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F5981B7B-7E0B-43E8-92B3-72CE6B861D56}" type="TxLink">
                  <a:rPr lang="en-GB" sz="1200" b="0"/>
                  <a:pPr/>
                  <a:t>Other</a:t>
                </a:fld>
                <a:endParaRPr lang="en-GB" sz="1200" b="0"/>
              </a:p>
            </xdr:txBody>
          </xdr:sp>
          <xdr:sp macro="" textlink="A33">
            <xdr:nvSpPr>
              <xdr:cNvPr id="200" name="TextBox 199"/>
              <xdr:cNvSpPr txBox="1"/>
            </xdr:nvSpPr>
            <xdr:spPr>
              <a:xfrm>
                <a:off x="4299592" y="2609850"/>
                <a:ext cx="875668" cy="2904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734D58B9-9790-4408-A351-6BA57B0C8073}" type="TxLink">
                  <a:rPr lang="en-GB" sz="1200" b="0"/>
                  <a:pPr/>
                  <a:t>Universities</a:t>
                </a:fld>
                <a:endParaRPr lang="en-GB" sz="1200" b="0"/>
              </a:p>
            </xdr:txBody>
          </xdr:sp>
          <xdr:sp macro="" textlink="A34">
            <xdr:nvSpPr>
              <xdr:cNvPr id="201" name="TextBox 200"/>
              <xdr:cNvSpPr txBox="1"/>
            </xdr:nvSpPr>
            <xdr:spPr>
              <a:xfrm>
                <a:off x="4299592" y="3009900"/>
                <a:ext cx="671498" cy="2904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77D77DFA-DE49-4FA6-927A-068767D3AF3C}" type="TxLink">
                  <a:rPr lang="en-GB" sz="1200" b="0"/>
                  <a:pPr/>
                  <a:t>Colleges</a:t>
                </a:fld>
                <a:endParaRPr lang="en-GB" sz="1200" b="0"/>
              </a:p>
            </xdr:txBody>
          </xdr:sp>
          <xdr:sp macro="" textlink="A35">
            <xdr:nvSpPr>
              <xdr:cNvPr id="202" name="TextBox 201"/>
              <xdr:cNvSpPr txBox="1"/>
            </xdr:nvSpPr>
            <xdr:spPr>
              <a:xfrm>
                <a:off x="4299592" y="3409950"/>
                <a:ext cx="523567" cy="2904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04FC82B3-9814-416B-89C7-803F20DC8970}" type="TxLink">
                  <a:rPr lang="en-GB" sz="1200" b="0"/>
                  <a:pPr/>
                  <a:t>Other</a:t>
                </a:fld>
                <a:endParaRPr lang="en-GB" sz="1200" b="0"/>
              </a:p>
            </xdr:txBody>
          </xdr:sp>
          <xdr:sp macro="" textlink="A32">
            <xdr:nvSpPr>
              <xdr:cNvPr id="203" name="TextBox 202"/>
              <xdr:cNvSpPr txBox="1"/>
            </xdr:nvSpPr>
            <xdr:spPr>
              <a:xfrm>
                <a:off x="3859930" y="2247900"/>
                <a:ext cx="1416717" cy="3229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E98E89C-E124-4745-B7AF-8CD65DAE5DCE}" type="TxLink">
                  <a:rPr lang="en-GB" sz="1400" b="1"/>
                  <a:pPr/>
                  <a:t>Outwith Scotland</a:t>
                </a:fld>
                <a:endParaRPr lang="en-GB" sz="1400" b="1"/>
              </a:p>
            </xdr:txBody>
          </xdr:sp>
          <xdr:sp macro="" textlink="E28">
            <xdr:nvSpPr>
              <xdr:cNvPr id="204" name="TextBox 203"/>
              <xdr:cNvSpPr txBox="1"/>
            </xdr:nvSpPr>
            <xdr:spPr>
              <a:xfrm>
                <a:off x="5427419" y="1057275"/>
                <a:ext cx="1145794" cy="2904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DC84D3E6-A228-4C85-A535-B4F73236846F}" type="TxLink">
                  <a:rPr lang="en-GB" sz="1200" b="0"/>
                  <a:pPr/>
                  <a:t>112,305 (75.9%)</a:t>
                </a:fld>
                <a:endParaRPr lang="en-GB" sz="1200" b="0"/>
              </a:p>
            </xdr:txBody>
          </xdr:sp>
          <xdr:sp macro="" textlink="E29">
            <xdr:nvSpPr>
              <xdr:cNvPr id="205" name="TextBox 204"/>
              <xdr:cNvSpPr txBox="1"/>
            </xdr:nvSpPr>
            <xdr:spPr>
              <a:xfrm>
                <a:off x="5427419" y="1409700"/>
                <a:ext cx="1071462" cy="2904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2C72E06C-4844-4DC2-A907-C3E142D51616}" type="TxLink">
                  <a:rPr lang="en-GB" sz="1200" b="0"/>
                  <a:pPr/>
                  <a:t>30,785 (20.8%)</a:t>
                </a:fld>
                <a:endParaRPr lang="en-GB" sz="1200" b="0"/>
              </a:p>
            </xdr:txBody>
          </xdr:sp>
          <xdr:sp macro="" textlink="E30">
            <xdr:nvSpPr>
              <xdr:cNvPr id="206" name="TextBox 205"/>
              <xdr:cNvSpPr txBox="1"/>
            </xdr:nvSpPr>
            <xdr:spPr>
              <a:xfrm>
                <a:off x="5427419" y="1809750"/>
                <a:ext cx="811850" cy="2904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356D4EBF-E23C-45E2-A60E-E395D129ECB7}" type="TxLink">
                  <a:rPr lang="en-GB" sz="1200" b="0"/>
                  <a:pPr/>
                  <a:t>460 (0.3%)</a:t>
                </a:fld>
                <a:endParaRPr lang="en-GB" sz="1200" b="0"/>
              </a:p>
            </xdr:txBody>
          </xdr:sp>
          <xdr:sp macro="" textlink="E33">
            <xdr:nvSpPr>
              <xdr:cNvPr id="207" name="TextBox 206"/>
              <xdr:cNvSpPr txBox="1"/>
            </xdr:nvSpPr>
            <xdr:spPr>
              <a:xfrm>
                <a:off x="5427419" y="2600325"/>
                <a:ext cx="922797" cy="2904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CE52B6FC-B804-46D4-9B77-8B4D473B70E5}" type="TxLink">
                  <a:rPr lang="en-GB" sz="1200" b="0"/>
                  <a:pPr/>
                  <a:t>4,055 (2.7%)</a:t>
                </a:fld>
                <a:endParaRPr lang="en-GB" sz="1200" b="0"/>
              </a:p>
            </xdr:txBody>
          </xdr:sp>
          <xdr:sp macro="" textlink="E34">
            <xdr:nvSpPr>
              <xdr:cNvPr id="208" name="TextBox 207"/>
              <xdr:cNvSpPr txBox="1"/>
            </xdr:nvSpPr>
            <xdr:spPr>
              <a:xfrm>
                <a:off x="5427419" y="3009900"/>
                <a:ext cx="811850" cy="2904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CF8F72F3-CF3F-412E-B76A-237AB718FD2C}" type="TxLink">
                  <a:rPr lang="en-GB" sz="1200" b="0"/>
                  <a:pPr/>
                  <a:t>195 (0.1%)</a:t>
                </a:fld>
                <a:endParaRPr lang="en-GB" sz="1200" b="0"/>
              </a:p>
            </xdr:txBody>
          </xdr:sp>
          <xdr:sp macro="" textlink="E35">
            <xdr:nvSpPr>
              <xdr:cNvPr id="209" name="TextBox 208"/>
              <xdr:cNvSpPr txBox="1"/>
            </xdr:nvSpPr>
            <xdr:spPr>
              <a:xfrm>
                <a:off x="5427419" y="3409950"/>
                <a:ext cx="811850" cy="2904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C5AA427D-BEA4-44AC-8D40-B03948F298E6}" type="TxLink">
                  <a:rPr lang="en-GB" sz="1200" b="0"/>
                  <a:pPr/>
                  <a:t>120 (0.1%)</a:t>
                </a:fld>
                <a:endParaRPr lang="en-GB" sz="1200" b="0"/>
              </a:p>
            </xdr:txBody>
          </xdr:sp>
          <xdr:sp macro="" textlink="">
            <xdr:nvSpPr>
              <xdr:cNvPr id="210" name="Legend_10"/>
              <xdr:cNvSpPr>
                <a:spLocks noChangeAspect="1"/>
              </xdr:cNvSpPr>
            </xdr:nvSpPr>
            <xdr:spPr>
              <a:xfrm>
                <a:off x="3945951" y="1809750"/>
                <a:ext cx="296294" cy="295275"/>
              </a:xfrm>
              <a:prstGeom prst="rect">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11" name="Legend_10"/>
              <xdr:cNvSpPr>
                <a:spLocks noChangeAspect="1"/>
              </xdr:cNvSpPr>
            </xdr:nvSpPr>
            <xdr:spPr>
              <a:xfrm>
                <a:off x="3945951" y="3000375"/>
                <a:ext cx="296294" cy="295275"/>
              </a:xfrm>
              <a:prstGeom prst="rect">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12" name="Legend_10"/>
              <xdr:cNvSpPr>
                <a:spLocks noChangeAspect="1"/>
              </xdr:cNvSpPr>
            </xdr:nvSpPr>
            <xdr:spPr>
              <a:xfrm>
                <a:off x="3945951" y="3400425"/>
                <a:ext cx="296294" cy="295275"/>
              </a:xfrm>
              <a:prstGeom prst="rect">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E27">
            <xdr:nvSpPr>
              <xdr:cNvPr id="213" name="TextBox 212"/>
              <xdr:cNvSpPr txBox="1"/>
            </xdr:nvSpPr>
            <xdr:spPr>
              <a:xfrm>
                <a:off x="5427419" y="714375"/>
                <a:ext cx="1316650" cy="3229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824C52D-CDB6-4EAA-8A29-718765D50D10}" type="TxLink">
                  <a:rPr lang="en-GB" sz="1400" b="1"/>
                  <a:pPr/>
                  <a:t>143,550 (97.0%)</a:t>
                </a:fld>
                <a:endParaRPr lang="en-GB" sz="1400" b="1"/>
              </a:p>
            </xdr:txBody>
          </xdr:sp>
          <xdr:sp macro="" textlink="E32">
            <xdr:nvSpPr>
              <xdr:cNvPr id="214" name="TextBox 213"/>
              <xdr:cNvSpPr txBox="1"/>
            </xdr:nvSpPr>
            <xdr:spPr>
              <a:xfrm>
                <a:off x="5427419" y="2247900"/>
                <a:ext cx="1056425" cy="3229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74AADE8A-C076-472D-8560-50E664A94EC1}" type="TxLink">
                  <a:rPr lang="en-GB" sz="1400" b="1"/>
                  <a:pPr/>
                  <a:t>4,375 (3.0%)</a:t>
                </a:fld>
                <a:endParaRPr lang="en-GB" sz="1400" b="1"/>
              </a:p>
            </xdr:txBody>
          </xdr:sp>
        </xdr:grpSp>
      </xdr:grpSp>
      <xdr:sp macro="" textlink="">
        <xdr:nvSpPr>
          <xdr:cNvPr id="127" name="Icon_10_10"/>
          <xdr:cNvSpPr>
            <a:spLocks noChangeAspect="1"/>
          </xdr:cNvSpPr>
        </xdr:nvSpPr>
        <xdr:spPr bwMode="auto">
          <a:xfrm>
            <a:off x="1933194" y="2972181"/>
            <a:ext cx="302472" cy="27720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3</xdr:row>
      <xdr:rowOff>0</xdr:rowOff>
    </xdr:from>
    <xdr:to>
      <xdr:col>8</xdr:col>
      <xdr:colOff>704850</xdr:colOff>
      <xdr:row>22</xdr:row>
      <xdr:rowOff>123825</xdr:rowOff>
    </xdr:to>
    <xdr:grpSp>
      <xdr:nvGrpSpPr>
        <xdr:cNvPr id="784066" name="Group 2"/>
        <xdr:cNvGrpSpPr>
          <a:grpSpLocks/>
        </xdr:cNvGrpSpPr>
      </xdr:nvGrpSpPr>
      <xdr:grpSpPr bwMode="auto">
        <a:xfrm>
          <a:off x="0" y="733425"/>
          <a:ext cx="7134225" cy="3924300"/>
          <a:chOff x="0" y="733425"/>
          <a:chExt cx="7134225" cy="3924300"/>
        </a:xfrm>
      </xdr:grpSpPr>
      <xdr:graphicFrame macro="">
        <xdr:nvGraphicFramePr>
          <xdr:cNvPr id="784067" name="Chart 3"/>
          <xdr:cNvGraphicFramePr>
            <a:graphicFrameLocks/>
          </xdr:cNvGraphicFramePr>
        </xdr:nvGraphicFramePr>
        <xdr:xfrm>
          <a:off x="0" y="2037455"/>
          <a:ext cx="2227326" cy="2342783"/>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784068" name="Chart 4"/>
          <xdr:cNvGraphicFramePr>
            <a:graphicFrameLocks/>
          </xdr:cNvGraphicFramePr>
        </xdr:nvGraphicFramePr>
        <xdr:xfrm>
          <a:off x="4906899" y="2051331"/>
          <a:ext cx="2227326" cy="2342783"/>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48" name="TextBox 47"/>
          <xdr:cNvSpPr txBox="1"/>
        </xdr:nvSpPr>
        <xdr:spPr bwMode="auto">
          <a:xfrm>
            <a:off x="752475" y="1676400"/>
            <a:ext cx="723900" cy="4857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GB" sz="1200" b="1"/>
              <a:t>Females by age</a:t>
            </a:r>
          </a:p>
        </xdr:txBody>
      </xdr:sp>
      <xdr:sp macro="" textlink="">
        <xdr:nvSpPr>
          <xdr:cNvPr id="49" name="TextBox 48"/>
          <xdr:cNvSpPr txBox="1"/>
        </xdr:nvSpPr>
        <xdr:spPr bwMode="auto">
          <a:xfrm>
            <a:off x="5657850" y="1685925"/>
            <a:ext cx="657225" cy="552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GB" sz="1200" b="1"/>
              <a:t>Males by age</a:t>
            </a:r>
          </a:p>
        </xdr:txBody>
      </xdr:sp>
      <xdr:sp macro="" textlink="">
        <xdr:nvSpPr>
          <xdr:cNvPr id="50" name="TextBox 49"/>
          <xdr:cNvSpPr txBox="1"/>
        </xdr:nvSpPr>
        <xdr:spPr bwMode="auto">
          <a:xfrm>
            <a:off x="2609850" y="1790700"/>
            <a:ext cx="676275"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GB" sz="1200" b="1"/>
              <a:t>Female</a:t>
            </a:r>
          </a:p>
        </xdr:txBody>
      </xdr:sp>
      <xdr:sp macro="" textlink="">
        <xdr:nvSpPr>
          <xdr:cNvPr id="51" name="TextBox 50"/>
          <xdr:cNvSpPr txBox="1"/>
        </xdr:nvSpPr>
        <xdr:spPr bwMode="auto">
          <a:xfrm>
            <a:off x="3771900" y="2047875"/>
            <a:ext cx="685800" cy="3714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GB" sz="1200" b="1"/>
              <a:t>Female</a:t>
            </a:r>
          </a:p>
        </xdr:txBody>
      </xdr:sp>
      <xdr:graphicFrame macro="">
        <xdr:nvGraphicFramePr>
          <xdr:cNvPr id="784073" name="Chart 5"/>
          <xdr:cNvGraphicFramePr>
            <a:graphicFrameLocks/>
          </xdr:cNvGraphicFramePr>
        </xdr:nvGraphicFramePr>
        <xdr:xfrm>
          <a:off x="1605484" y="4075002"/>
          <a:ext cx="3911952" cy="582723"/>
        </xdr:xfrm>
        <a:graphic>
          <a:graphicData uri="http://schemas.openxmlformats.org/drawingml/2006/chart">
            <c:chart xmlns:c="http://schemas.openxmlformats.org/drawingml/2006/chart" xmlns:r="http://schemas.openxmlformats.org/officeDocument/2006/relationships" r:id="rId3"/>
          </a:graphicData>
        </a:graphic>
      </xdr:graphicFrame>
      <xdr:sp macro="" textlink="'Table A5'!A26">
        <xdr:nvSpPr>
          <xdr:cNvPr id="56" name="TextBox 55"/>
          <xdr:cNvSpPr txBox="1"/>
        </xdr:nvSpPr>
        <xdr:spPr bwMode="auto">
          <a:xfrm>
            <a:off x="1104900" y="733425"/>
            <a:ext cx="1571625" cy="4857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fld id="{6709A2DB-9CF2-4799-8FE6-C54A56AD7DBE}" type="TxLink">
              <a:rPr lang="en-US" sz="1200" b="0" i="0" u="none" strike="noStrike">
                <a:solidFill>
                  <a:srgbClr val="000000"/>
                </a:solidFill>
                <a:latin typeface="Calibri"/>
                <a:cs typeface="Calibri"/>
              </a:rPr>
              <a:pPr/>
              <a:t> </a:t>
            </a:fld>
            <a:endParaRPr lang="en-GB" sz="1200" i="1"/>
          </a:p>
        </xdr:txBody>
      </xdr:sp>
      <xdr:sp macro="" textlink="'Table A5'!A27">
        <xdr:nvSpPr>
          <xdr:cNvPr id="57" name="TextBox 56"/>
          <xdr:cNvSpPr txBox="1"/>
        </xdr:nvSpPr>
        <xdr:spPr bwMode="auto">
          <a:xfrm>
            <a:off x="4438650" y="733425"/>
            <a:ext cx="1571625" cy="4857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fld id="{E16D5F1A-E3D6-4384-AECB-2C4C2770EBD1}" type="TxLink">
              <a:rPr lang="en-GB" sz="1200" i="1"/>
              <a:pPr algn="r"/>
              <a:t> </a:t>
            </a:fld>
            <a:endParaRPr lang="en-GB" sz="1200" i="1"/>
          </a:p>
        </xdr:txBody>
      </xdr:sp>
      <xdr:graphicFrame macro="">
        <xdr:nvGraphicFramePr>
          <xdr:cNvPr id="784076" name="Chart 52"/>
          <xdr:cNvGraphicFramePr>
            <a:graphicFrameLocks/>
          </xdr:cNvGraphicFramePr>
        </xdr:nvGraphicFramePr>
        <xdr:xfrm>
          <a:off x="2216246" y="1876425"/>
          <a:ext cx="2566394" cy="2314245"/>
        </xdr:xfrm>
        <a:graphic>
          <a:graphicData uri="http://schemas.openxmlformats.org/drawingml/2006/chart">
            <c:chart xmlns:c="http://schemas.openxmlformats.org/drawingml/2006/chart" xmlns:r="http://schemas.openxmlformats.org/officeDocument/2006/relationships" r:id="rId4"/>
          </a:graphicData>
        </a:graphic>
      </xdr:graphicFrame>
      <xdr:cxnSp macro="">
        <xdr:nvCxnSpPr>
          <xdr:cNvPr id="54" name="Elbow Connector 53"/>
          <xdr:cNvCxnSpPr>
            <a:stCxn id="50" idx="0"/>
            <a:endCxn id="48" idx="0"/>
          </xdr:cNvCxnSpPr>
        </xdr:nvCxnSpPr>
        <xdr:spPr bwMode="auto">
          <a:xfrm rot="16200000" flipV="1">
            <a:off x="1976438" y="814387"/>
            <a:ext cx="114300" cy="1838325"/>
          </a:xfrm>
          <a:prstGeom prst="bentConnector3">
            <a:avLst>
              <a:gd name="adj1" fmla="val 466667"/>
            </a:avLst>
          </a:prstGeom>
          <a:ln>
            <a:solidFill>
              <a:schemeClr val="bg1">
                <a:lumMod val="85000"/>
              </a:schemeClr>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5" name="Elbow Connector 54"/>
          <xdr:cNvCxnSpPr>
            <a:stCxn id="51" idx="0"/>
            <a:endCxn id="49" idx="0"/>
          </xdr:cNvCxnSpPr>
        </xdr:nvCxnSpPr>
        <xdr:spPr bwMode="auto">
          <a:xfrm rot="5400000" flipH="1" flipV="1">
            <a:off x="4867275" y="933450"/>
            <a:ext cx="361950" cy="1866900"/>
          </a:xfrm>
          <a:prstGeom prst="bentConnector3">
            <a:avLst>
              <a:gd name="adj1" fmla="val 223684"/>
            </a:avLst>
          </a:prstGeom>
          <a:ln>
            <a:solidFill>
              <a:schemeClr val="bg1">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xdr:row>
      <xdr:rowOff>0</xdr:rowOff>
    </xdr:from>
    <xdr:to>
      <xdr:col>8</xdr:col>
      <xdr:colOff>428625</xdr:colOff>
      <xdr:row>23</xdr:row>
      <xdr:rowOff>114300</xdr:rowOff>
    </xdr:to>
    <xdr:grpSp>
      <xdr:nvGrpSpPr>
        <xdr:cNvPr id="8" name="Group 7"/>
        <xdr:cNvGrpSpPr/>
      </xdr:nvGrpSpPr>
      <xdr:grpSpPr>
        <a:xfrm>
          <a:off x="0" y="733425"/>
          <a:ext cx="6858000" cy="4114800"/>
          <a:chOff x="0" y="733425"/>
          <a:chExt cx="6858000" cy="4114800"/>
        </a:xfrm>
      </xdr:grpSpPr>
      <xdr:graphicFrame macro="">
        <xdr:nvGraphicFramePr>
          <xdr:cNvPr id="134278" name="Chart 1"/>
          <xdr:cNvGraphicFramePr>
            <a:graphicFrameLocks/>
          </xdr:cNvGraphicFramePr>
        </xdr:nvGraphicFramePr>
        <xdr:xfrm>
          <a:off x="0" y="733425"/>
          <a:ext cx="6858000" cy="411480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9" name="Chart 8"/>
          <xdr:cNvGraphicFramePr>
            <a:graphicFrameLocks/>
          </xdr:cNvGraphicFramePr>
        </xdr:nvGraphicFramePr>
        <xdr:xfrm>
          <a:off x="1123950" y="1143000"/>
          <a:ext cx="5534025" cy="209169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9.xml><?xml version="1.0" encoding="utf-8"?>
<c:userShapes xmlns:c="http://schemas.openxmlformats.org/drawingml/2006/chart">
  <cdr:relSizeAnchor xmlns:cdr="http://schemas.openxmlformats.org/drawingml/2006/chartDrawing">
    <cdr:from>
      <cdr:x>0.31528</cdr:x>
      <cdr:y>0.04167</cdr:y>
    </cdr:from>
    <cdr:to>
      <cdr:x>0.31528</cdr:x>
      <cdr:y>0.92129</cdr:y>
    </cdr:to>
    <cdr:cxnSp macro="">
      <cdr:nvCxnSpPr>
        <cdr:cNvPr id="3" name="Straight Connector 2"/>
        <cdr:cNvCxnSpPr/>
      </cdr:nvCxnSpPr>
      <cdr:spPr>
        <a:xfrm xmlns:a="http://schemas.openxmlformats.org/drawingml/2006/main" flipV="1">
          <a:off x="2162190" y="171450"/>
          <a:ext cx="0" cy="3619490"/>
        </a:xfrm>
        <a:prstGeom xmlns:a="http://schemas.openxmlformats.org/drawingml/2006/main" prst="line">
          <a:avLst/>
        </a:prstGeom>
        <a:ln xmlns:a="http://schemas.openxmlformats.org/drawingml/2006/main">
          <a:solidFill>
            <a:schemeClr val="bg1">
              <a:lumMod val="75000"/>
            </a:schemeClr>
          </a:solidFill>
          <a:prstDash val="sys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0.29769</cdr:x>
      <cdr:y>0.09336</cdr:y>
    </cdr:from>
    <cdr:to>
      <cdr:x>0.95463</cdr:x>
      <cdr:y>0.56581</cdr:y>
    </cdr:to>
    <cdr:grpSp>
      <cdr:nvGrpSpPr>
        <cdr:cNvPr id="4" name="Group 3"/>
        <cdr:cNvGrpSpPr/>
      </cdr:nvGrpSpPr>
      <cdr:grpSpPr>
        <a:xfrm xmlns:a="http://schemas.openxmlformats.org/drawingml/2006/main">
          <a:off x="2041558" y="384158"/>
          <a:ext cx="4505295" cy="1944037"/>
          <a:chOff x="0" y="0"/>
          <a:chExt cx="4505326" cy="1944000"/>
        </a:xfrm>
      </cdr:grpSpPr>
      <cdr:sp macro="" textlink="">
        <cdr:nvSpPr>
          <cdr:cNvPr id="5" name="Right Triangle 4"/>
          <cdr:cNvSpPr/>
        </cdr:nvSpPr>
        <cdr:spPr>
          <a:xfrm xmlns:a="http://schemas.openxmlformats.org/drawingml/2006/main" rot="10800000">
            <a:off x="0" y="0"/>
            <a:ext cx="1247775" cy="1943100"/>
          </a:xfrm>
          <a:prstGeom xmlns:a="http://schemas.openxmlformats.org/drawingml/2006/main" prst="rtTriangle">
            <a:avLst/>
          </a:prstGeom>
          <a:solidFill xmlns:a="http://schemas.openxmlformats.org/drawingml/2006/main">
            <a:schemeClr val="accent1">
              <a:alpha val="7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n-GB" sz="1100"/>
          </a:p>
        </cdr:txBody>
      </cdr:sp>
      <cdr:sp macro="" textlink="">
        <cdr:nvSpPr>
          <cdr:cNvPr id="6" name="Rectangle 5"/>
          <cdr:cNvSpPr/>
        </cdr:nvSpPr>
        <cdr:spPr>
          <a:xfrm xmlns:a="http://schemas.openxmlformats.org/drawingml/2006/main">
            <a:off x="1247776" y="0"/>
            <a:ext cx="3257550" cy="1944000"/>
          </a:xfrm>
          <a:prstGeom xmlns:a="http://schemas.openxmlformats.org/drawingml/2006/main" prst="rect">
            <a:avLst/>
          </a:prstGeom>
          <a:solidFill xmlns:a="http://schemas.openxmlformats.org/drawingml/2006/main">
            <a:srgbClr val="4F81BD">
              <a:alpha val="7000"/>
            </a:srgb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n-GB" sz="1100"/>
          </a:p>
        </cdr:txBody>
      </cdr:sp>
    </cdr:grp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a:solidFill>
            <a:schemeClr val="accent2">
              <a:lumMod val="75000"/>
            </a:schemeClr>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hyperlink" Target="https://www.gov.uk/government/statistics/gdp-deflators-at-market-prices-and-money-gdp-june-2018-quarterly-national-accounts" TargetMode="Externa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0" tint="-0.499984740745262"/>
    <pageSetUpPr autoPageBreaks="0" fitToPage="1"/>
  </sheetPr>
  <dimension ref="A1:H56"/>
  <sheetViews>
    <sheetView tabSelected="1" zoomScaleNormal="100" workbookViewId="0"/>
  </sheetViews>
  <sheetFormatPr defaultRowHeight="18.75" customHeight="1"/>
  <cols>
    <col min="1" max="1" width="14.5703125" style="1" customWidth="1"/>
    <col min="2" max="2" width="6.140625" style="1" customWidth="1"/>
    <col min="3" max="3" width="83.5703125" style="1" customWidth="1"/>
    <col min="4" max="4" width="24.28515625" style="1" customWidth="1"/>
    <col min="5" max="5" width="18.140625" style="1" bestFit="1" customWidth="1"/>
    <col min="6" max="16384" width="9.140625" style="1"/>
  </cols>
  <sheetData>
    <row r="1" spans="1:8" ht="27" customHeight="1">
      <c r="A1" s="141" t="s">
        <v>266</v>
      </c>
      <c r="B1" s="139"/>
      <c r="C1" s="139"/>
      <c r="D1" s="139"/>
      <c r="E1" s="139"/>
    </row>
    <row r="2" spans="1:8" ht="18.75" customHeight="1">
      <c r="A2" s="142" t="s">
        <v>285</v>
      </c>
      <c r="B2" s="139"/>
      <c r="C2" s="139"/>
      <c r="D2" s="139"/>
      <c r="E2" s="139"/>
    </row>
    <row r="3" spans="1:8" ht="18.75" customHeight="1">
      <c r="A3" s="172"/>
    </row>
    <row r="4" spans="1:8" ht="18.75" customHeight="1">
      <c r="A4" s="276" t="s">
        <v>88</v>
      </c>
      <c r="B4" s="150"/>
      <c r="C4" s="150"/>
      <c r="D4" s="150"/>
      <c r="E4" s="150"/>
    </row>
    <row r="5" spans="1:8" ht="18.75" customHeight="1">
      <c r="A5" s="153" t="s">
        <v>44</v>
      </c>
      <c r="B5" s="154" t="str">
        <f>HYPERLINK(CONCATENATE("#'",A5,"'!A3"),"&gt;&gt;")</f>
        <v>&gt;&gt;</v>
      </c>
      <c r="C5" s="20"/>
      <c r="D5" s="172"/>
    </row>
    <row r="6" spans="1:8" ht="18.75" customHeight="1">
      <c r="A6" s="57"/>
      <c r="B6" s="58"/>
    </row>
    <row r="7" spans="1:8" ht="18.75" customHeight="1">
      <c r="A7" s="328" t="s">
        <v>152</v>
      </c>
      <c r="B7" s="328"/>
      <c r="C7" s="328"/>
      <c r="D7" s="328"/>
      <c r="E7" s="302"/>
      <c r="F7"/>
      <c r="G7"/>
      <c r="H7"/>
    </row>
    <row r="8" spans="1:8" ht="18.75" customHeight="1">
      <c r="A8" s="153" t="str">
        <f ca="1">LEFT('Figure 1.1'!A2,SEARCH(":",'Figure 1.1'!A2)-1)</f>
        <v>Figure 1.1</v>
      </c>
      <c r="B8" s="154" t="str">
        <f ca="1">HYPERLINK(CONCATENATE("#'",A8,"'!A3"),"&gt;&gt;")</f>
        <v>&gt;&gt;</v>
      </c>
      <c r="C8" s="20" t="str">
        <f ca="1">MID(INDIRECT(CONCATENATE("'",A8,"'!A2")),SEARCH(":",INDIRECT(CONCATENATE("'",A8,"'!A2")))+2,LEN(INDIRECT(CONCATENATE("'",A8,"'!A2"))))</f>
        <v>Overview of SAAS schemes of support</v>
      </c>
      <c r="D8" s="172"/>
    </row>
    <row r="9" spans="1:8" ht="18.75" customHeight="1">
      <c r="A9" s="57"/>
      <c r="B9" s="58"/>
    </row>
    <row r="10" spans="1:8" ht="18.75" customHeight="1">
      <c r="A10" s="277" t="s">
        <v>212</v>
      </c>
      <c r="B10" s="143"/>
      <c r="C10" s="151"/>
      <c r="D10" s="152"/>
      <c r="E10" s="152"/>
    </row>
    <row r="11" spans="1:8" ht="18.75" customHeight="1">
      <c r="A11" s="153" t="str">
        <f ca="1">LEFT('Table 3.1'!A2,SEARCH(":",'Table 3.1'!A2)-1)</f>
        <v>Table 3.1</v>
      </c>
      <c r="B11" s="154" t="str">
        <f ca="1">HYPERLINK(CONCATENATE("#'",A11,"'!A3"),"&gt;&gt;")</f>
        <v>&gt;&gt;</v>
      </c>
      <c r="C11" s="20" t="str">
        <f ca="1">MID(INDIRECT(CONCATENATE("'",A11,"'!A2")),SEARCH(":",INDIRECT(CONCATENATE("'",A11,"'!A2")))+2,LEN(INDIRECT(CONCATENATE("'",A11,"'!A2"))))</f>
        <v>Key trends of support provided to full-time students</v>
      </c>
      <c r="D11" s="172"/>
    </row>
    <row r="12" spans="1:8" ht="18.75" customHeight="1">
      <c r="A12" s="57" t="str">
        <f ca="1">LEFT('Figure 3.1'!A2,SEARCH(":",'Figure 3.1'!A2)-1)</f>
        <v>Figure 3.1</v>
      </c>
      <c r="B12" s="58" t="str">
        <f t="shared" ref="B12:B22" ca="1" si="0">HYPERLINK(CONCATENATE("#'",A12,"'!A3"),"&gt;&gt;")</f>
        <v>&gt;&gt;</v>
      </c>
      <c r="C12" s="1" t="str">
        <f ca="1">MID(INDIRECT(CONCATENATE("'",A12,"'!A2")),SEARCH(":",INDIRECT(CONCATENATE("'",A12,"'!A2")))+2,LEN(INDIRECT(CONCATENATE("'",A12,"'!A2"))))</f>
        <v>Full-time supported students by award type and year (number of students)</v>
      </c>
      <c r="D12" s="172"/>
    </row>
    <row r="13" spans="1:8" ht="18.75" customHeight="1">
      <c r="A13" s="57" t="str">
        <f ca="1">LEFT('Figure 3.2'!A2,SEARCH(":",'Figure 3.2'!A2)-1)</f>
        <v>Figure 3.2</v>
      </c>
      <c r="B13" s="58" t="str">
        <f t="shared" ca="1" si="0"/>
        <v>&gt;&gt;</v>
      </c>
      <c r="C13" s="1" t="str">
        <f ca="1">MID(INDIRECT(CONCATENATE("'",A13,"'!A2")),SEARCH(":",INDIRECT(CONCATENATE("'",A13,"'!A2")))+2,LEN(INDIRECT(CONCATENATE("'",A13,"'!A2"))))</f>
        <v>Full-time supported students by award type and year (amount paid)</v>
      </c>
      <c r="D13" s="172"/>
    </row>
    <row r="14" spans="1:8" ht="18.75" customHeight="1">
      <c r="A14" s="57" t="str">
        <f ca="1">LEFT('Figure 3.3'!A2,SEARCH(":",'Figure 3.3'!A2)-1)</f>
        <v>Figure 3.3</v>
      </c>
      <c r="B14" s="58" t="str">
        <f t="shared" ca="1" si="0"/>
        <v>&gt;&gt;</v>
      </c>
      <c r="C14" s="1" t="str">
        <f ca="1">MID(INDIRECT(CONCATENATE("'",A14,"'!A2")),SEARCH(":",INDIRECT(CONCATENATE("'",A14,"'!A2")))+2,LEN(INDIRECT(CONCATENATE("'",A14,"'!A2"))))</f>
        <v>Full-time students total support by domicile of student</v>
      </c>
      <c r="D14" s="172"/>
    </row>
    <row r="15" spans="1:8" ht="18.75" customHeight="1">
      <c r="A15" s="57" t="str">
        <f ca="1">LEFT('Figure 3.4'!A2,SEARCH(":",'Figure 3.4'!A2)-1)</f>
        <v>Figure 3.4</v>
      </c>
      <c r="B15" s="58" t="str">
        <f t="shared" ca="1" si="0"/>
        <v>&gt;&gt;</v>
      </c>
      <c r="C15" s="1" t="str">
        <f ca="1">MID(INDIRECT(CONCATENATE("'",A15,"'!A2")),SEARCH(":",INDIRECT(CONCATENATE("'",A15,"'!A2")))+2,LEN(INDIRECT(CONCATENATE("'",A15,"'!A2"))))</f>
        <v>Full-time students location of study by institution type</v>
      </c>
      <c r="D15" s="172"/>
    </row>
    <row r="16" spans="1:8" ht="18.75" customHeight="1">
      <c r="A16" s="57" t="str">
        <f ca="1">LEFT('Figure 3.5'!A2,SEARCH(":",'Figure 3.5'!A2)-1)</f>
        <v>Figure 3.5</v>
      </c>
      <c r="B16" s="58" t="str">
        <f t="shared" ca="1" si="0"/>
        <v>&gt;&gt;</v>
      </c>
      <c r="C16" s="1" t="str">
        <f t="shared" ref="C16:C21" ca="1" si="1">MID(INDIRECT(CONCATENATE("'",A16,"'!A2")),SEARCH(":",INDIRECT(CONCATENATE("'",A16,"'!A2")))+2,LEN(INDIRECT(CONCATENATE("'",A16,"'!A2"))))</f>
        <v>Full-time students age by gender</v>
      </c>
      <c r="D16" s="172"/>
    </row>
    <row r="17" spans="1:5" ht="18.75" customHeight="1">
      <c r="A17" s="57" t="str">
        <f ca="1">LEFT('Figure 3.6'!A2,SEARCH(":",'Figure 3.6'!A2)-1)</f>
        <v>Figure 3.6</v>
      </c>
      <c r="B17" s="58" t="str">
        <f ca="1">HYPERLINK(CONCATENATE("#'",A17,"'!A3"),"&gt;&gt;")</f>
        <v>&gt;&gt;</v>
      </c>
      <c r="C17" s="1" t="str">
        <f ca="1">MID(INDIRECT(CONCATENATE("'",A17,"'!A2")),SEARCH(":",INDIRECT(CONCATENATE("'",A17,"'!A2")))+2,LEN(INDIRECT(CONCATENATE("'",A17,"'!A2"))))</f>
        <v>Full-time students household income</v>
      </c>
      <c r="D17" s="172"/>
    </row>
    <row r="18" spans="1:5" ht="18.75" customHeight="1">
      <c r="A18" s="57" t="str">
        <f ca="1">LEFT('Figure 3.7'!A2,SEARCH(":",'Figure 3.7'!A2)-1)</f>
        <v>Figure 3.7</v>
      </c>
      <c r="B18" s="58" t="str">
        <f t="shared" ca="1" si="0"/>
        <v>&gt;&gt;</v>
      </c>
      <c r="C18" s="1" t="str">
        <f t="shared" ca="1" si="1"/>
        <v>Full-time students qualification type by year</v>
      </c>
      <c r="D18" s="172"/>
    </row>
    <row r="19" spans="1:5" ht="18.75" customHeight="1">
      <c r="A19" s="57" t="str">
        <f ca="1">LEFT('Figure 3.8'!A2,SEARCH(":",'Figure 3.8'!A2)-1)</f>
        <v>Figure 3.8</v>
      </c>
      <c r="B19" s="58" t="str">
        <f ca="1">HYPERLINK(CONCATENATE("#'",A19,"'!A3"),"&gt;&gt;")</f>
        <v>&gt;&gt;</v>
      </c>
      <c r="C19" s="1" t="str">
        <f ca="1">MID(INDIRECT(CONCATENATE("'",A19,"'!A2")),SEARCH(":",INDIRECT(CONCATENATE("'",A19,"'!A2")))+2,LEN(INDIRECT(CONCATENATE("'",A19,"'!A2"))))</f>
        <v>Full-time students type of bursaries and grants awarded</v>
      </c>
      <c r="D19" s="172"/>
    </row>
    <row r="20" spans="1:5" ht="18.75" customHeight="1">
      <c r="A20" s="57" t="str">
        <f ca="1">LEFT('Figure 3.9'!A2,SEARCH(":",'Figure 3.9'!A2)-1)</f>
        <v>Figure 3.9</v>
      </c>
      <c r="B20" s="58" t="str">
        <f ca="1">HYPERLINK(CONCATENATE("#'",A20,"'!A3"),"&gt;&gt;")</f>
        <v>&gt;&gt;</v>
      </c>
      <c r="C20" s="1" t="str">
        <f t="shared" ca="1" si="1"/>
        <v>Full-time students level of tuition fee support</v>
      </c>
      <c r="D20" s="172"/>
    </row>
    <row r="21" spans="1:5" ht="18.75" customHeight="1">
      <c r="A21" s="57" t="str">
        <f ca="1">LEFT('Figure 3.10'!A2,SEARCH(":",'Figure 3.10'!A2)-1)</f>
        <v>Figure 3.10</v>
      </c>
      <c r="B21" s="58" t="str">
        <f ca="1">HYPERLINK(CONCATENATE("#'",A21,"'!A3"),"&gt;&gt;")</f>
        <v>&gt;&gt;</v>
      </c>
      <c r="C21" s="1" t="str">
        <f t="shared" ca="1" si="1"/>
        <v>Full-time students authorised for loans by level of support</v>
      </c>
      <c r="D21" s="172"/>
    </row>
    <row r="22" spans="1:5" ht="18.75" customHeight="1">
      <c r="A22" s="57" t="str">
        <f ca="1">LEFT('Figure 3.11'!A2,SEARCH(":",'Figure 3.11'!A2)-1)</f>
        <v>Figure 3.11</v>
      </c>
      <c r="B22" s="58" t="str">
        <f t="shared" ca="1" si="0"/>
        <v>&gt;&gt;</v>
      </c>
      <c r="C22" s="1" t="str">
        <f ca="1">MID(INDIRECT(CONCATENATE("'",A22,"'!A2")),SEARCH(":",INDIRECT(CONCATENATE("'",A22,"'!A2")))+2,LEN(INDIRECT(CONCATENATE("'",A22,"'!A2"))))</f>
        <v>Full-time students receiving DSA support by disability type</v>
      </c>
      <c r="D22" s="172"/>
    </row>
    <row r="24" spans="1:5" ht="18.75" customHeight="1">
      <c r="A24" s="278" t="s">
        <v>213</v>
      </c>
      <c r="B24" s="147"/>
      <c r="C24" s="147"/>
      <c r="D24" s="147"/>
      <c r="E24" s="147"/>
    </row>
    <row r="25" spans="1:5" ht="18.75" customHeight="1">
      <c r="A25" s="57" t="str">
        <f ca="1">LEFT('Table 4.1'!A2,SEARCH(":",'Table 4.1'!A2)-1)</f>
        <v>Table 4.1</v>
      </c>
      <c r="B25" s="58" t="str">
        <f ca="1">HYPERLINK(CONCATENATE("#'",A25,"'!A3"),"&gt;&gt;")</f>
        <v>&gt;&gt;</v>
      </c>
      <c r="C25" s="1" t="str">
        <f ca="1">MID(INDIRECT(CONCATENATE("'",A25,"'!A2")),SEARCH(":",INDIRECT(CONCATENATE("'",A25,"'!A2")))+2,LEN(INDIRECT(CONCATENATE("'",A25,"'!A2"))))</f>
        <v>Part-time students receiving tuition fee support</v>
      </c>
      <c r="D25" s="172"/>
    </row>
    <row r="26" spans="1:5" ht="18.75" customHeight="1">
      <c r="A26" s="57" t="str">
        <f ca="1">LEFT('Table 4.2'!A2,SEARCH(":",'Table 4.2'!A2)-1)</f>
        <v>Table 4.2</v>
      </c>
      <c r="B26" s="58" t="str">
        <f ca="1">HYPERLINK(CONCATENATE("#'",A26,"'!A3"),"&gt;&gt;")</f>
        <v>&gt;&gt;</v>
      </c>
      <c r="C26" s="1" t="str">
        <f ca="1">MID(INDIRECT(CONCATENATE("'",A26,"'!A2")),SEARCH(":",INDIRECT(CONCATENATE("'",A26,"'!A2")))+2,LEN(INDIRECT(CONCATENATE("'",A26,"'!A2"))))</f>
        <v>Part-time students receiving tuition fee support by age and gender</v>
      </c>
      <c r="D26" s="172"/>
    </row>
    <row r="28" spans="1:5" ht="18.75" customHeight="1">
      <c r="A28" s="279" t="s">
        <v>214</v>
      </c>
      <c r="B28" s="146"/>
      <c r="C28" s="146"/>
      <c r="D28" s="146"/>
      <c r="E28" s="146"/>
    </row>
    <row r="29" spans="1:5" ht="18.75" customHeight="1">
      <c r="A29" s="57" t="str">
        <f ca="1">LEFT('Table 5.1'!A2,SEARCH(":",'Table 5.1'!A2)-1)</f>
        <v>Table 5.1</v>
      </c>
      <c r="B29" s="58" t="str">
        <f ca="1">HYPERLINK(CONCATENATE("#'",A29,"'!A3"),"&gt;&gt;")</f>
        <v>&gt;&gt;</v>
      </c>
      <c r="C29" s="1" t="str">
        <f ca="1">MID(INDIRECT(CONCATENATE("'",A29,"'!A2")),SEARCH(":",INDIRECT(CONCATENATE("'",A29,"'!A2")))+2,LEN(INDIRECT(CONCATENATE("'",A29,"'!A2"))))</f>
        <v>Nursing and Midwifery support by year</v>
      </c>
      <c r="D29" s="172"/>
    </row>
    <row r="30" spans="1:5" ht="18.75" customHeight="1">
      <c r="A30" s="57" t="str">
        <f ca="1">LEFT('Figure 5.1'!A2,SEARCH(":",'Figure 5.1'!A2)-1)</f>
        <v>Figure 5.1</v>
      </c>
      <c r="B30" s="58" t="str">
        <f ca="1">HYPERLINK(CONCATENATE("#'",A30,"'!A3"),"&gt;&gt;")</f>
        <v>&gt;&gt;</v>
      </c>
      <c r="C30" s="1" t="str">
        <f ca="1">MID(INDIRECT(CONCATENATE("'",A30,"'!A2")),SEARCH(":",INDIRECT(CONCATENATE("'",A30,"'!A2")))+2,LEN(INDIRECT(CONCATENATE("'",A30,"'!A2"))))</f>
        <v>Nursing and midwifery support by type of bursaries and grants awarded</v>
      </c>
      <c r="D30" s="172"/>
    </row>
    <row r="31" spans="1:5" ht="18.75" customHeight="1">
      <c r="A31" s="57" t="str">
        <f ca="1">LEFT('Figure 5.2'!A2,SEARCH(":",'Figure 5.2'!A2)-1)</f>
        <v>Figure 5.2</v>
      </c>
      <c r="B31" s="58" t="str">
        <f ca="1">HYPERLINK(CONCATENATE("#'",A31,"'!A3"),"&gt;&gt;")</f>
        <v>&gt;&gt;</v>
      </c>
      <c r="C31" s="1" t="str">
        <f ca="1">MID(INDIRECT(CONCATENATE("'",A31,"'!A2")),SEARCH(":",INDIRECT(CONCATENATE("'",A31,"'!A2")))+2,LEN(INDIRECT(CONCATENATE("'",A31,"'!A2"))))</f>
        <v>Nursing and Midwifery support by age and gender</v>
      </c>
      <c r="D31" s="172"/>
    </row>
    <row r="33" spans="1:5" ht="18.75" customHeight="1">
      <c r="A33" s="280" t="s">
        <v>215</v>
      </c>
      <c r="B33" s="145"/>
      <c r="C33" s="145"/>
      <c r="D33" s="145"/>
      <c r="E33" s="145"/>
    </row>
    <row r="34" spans="1:5" ht="18.75" customHeight="1">
      <c r="A34" s="57" t="str">
        <f ca="1">LEFT('Figure 6.1'!A2,SEARCH(":",'Figure 6.1'!A2)-1)</f>
        <v>Figure 6.1</v>
      </c>
      <c r="B34" s="58" t="str">
        <f ca="1">HYPERLINK(CONCATENATE("#'",A34,"'!A3"),"&gt;&gt;")</f>
        <v>&gt;&gt;</v>
      </c>
      <c r="C34" s="1" t="str">
        <f ca="1">MID(INDIRECT(CONCATENATE("'",A34,"'!A2")),SEARCH(":",INDIRECT(CONCATENATE("'",A34,"'!A2")))+2,LEN(INDIRECT(CONCATENATE("'",A34,"'!A2"))))</f>
        <v>Discretionary Fund and Discretionary Childcare Fund support</v>
      </c>
      <c r="D34" s="172"/>
    </row>
    <row r="35" spans="1:5" ht="18.75" customHeight="1">
      <c r="A35" s="57" t="str">
        <f ca="1">LEFT('Table 6.1'!A2,SEARCH(":",'Table 6.1'!A2)-1)</f>
        <v>Table 6.1</v>
      </c>
      <c r="B35" s="58" t="str">
        <f ca="1">HYPERLINK(CONCATENATE("#'",A35,"'!A3"),"&gt;&gt;")</f>
        <v>&gt;&gt;</v>
      </c>
      <c r="C35" s="1" t="str">
        <f ca="1">MID(INDIRECT(CONCATENATE("'",A35,"'!A2")),SEARCH(":",INDIRECT(CONCATENATE("'",A35,"'!A2")))+2,LEN(INDIRECT(CONCATENATE("'",A35,"'!A2"))))</f>
        <v>Discretionary Fund and Discretionary Childcare Fund support</v>
      </c>
      <c r="D35" s="172"/>
    </row>
    <row r="36" spans="1:5" ht="18.75" customHeight="1">
      <c r="A36" s="57" t="str">
        <f ca="1">LEFT('Table 6.2'!A2,SEARCH(":",'Table 6.2'!A2)-1)</f>
        <v>Table 6.2</v>
      </c>
      <c r="B36" s="58" t="str">
        <f ca="1">HYPERLINK(CONCATENATE("#'",A36,"'!A3"),"&gt;&gt;")</f>
        <v>&gt;&gt;</v>
      </c>
      <c r="C36" s="1" t="str">
        <f ca="1">MID(INDIRECT(CONCATENATE("'",A36,"'!A2")),SEARCH(":",INDIRECT(CONCATENATE("'",A36,"'!A2")))+2,LEN(INDIRECT(CONCATENATE("'",A36,"'!A2"))))</f>
        <v>Discretionary Fund support by type of support</v>
      </c>
      <c r="D36" s="172"/>
    </row>
    <row r="38" spans="1:5" ht="18.75" customHeight="1">
      <c r="A38" s="277" t="s">
        <v>216</v>
      </c>
      <c r="B38" s="143"/>
      <c r="C38" s="143"/>
      <c r="D38" s="152"/>
      <c r="E38" s="152"/>
    </row>
    <row r="39" spans="1:5" ht="18.75" customHeight="1">
      <c r="A39" s="57" t="str">
        <f ca="1">LEFT('Table A1'!A2,SEARCH(":",'Table A1'!A2)-1)</f>
        <v>Table A1</v>
      </c>
      <c r="B39" s="58" t="str">
        <f t="shared" ref="B39:B50" ca="1" si="2">HYPERLINK(CONCATENATE("#'",A39,"'!A3"),"&gt;&gt;")</f>
        <v>&gt;&gt;</v>
      </c>
      <c r="C39" s="1" t="str">
        <f t="shared" ref="C39:C50" ca="1" si="3">MID(INDIRECT(CONCATENATE("'",A39,"'!A2")),SEARCH(":",INDIRECT(CONCATENATE("'",A39,"'!A2")))+2,LEN(INDIRECT(CONCATENATE("'",A39,"'!A2"))))</f>
        <v>Full-time students type of support provided</v>
      </c>
      <c r="D39" s="172"/>
    </row>
    <row r="40" spans="1:5" ht="18.75" customHeight="1">
      <c r="A40" s="57" t="str">
        <f ca="1">LEFT('Table A2'!A2,SEARCH(":",'Table A2'!A2)-1)</f>
        <v>Table A2</v>
      </c>
      <c r="B40" s="58" t="str">
        <f t="shared" ca="1" si="2"/>
        <v>&gt;&gt;</v>
      </c>
      <c r="C40" s="1" t="str">
        <f t="shared" ca="1" si="3"/>
        <v>Full-time students domicile of student</v>
      </c>
      <c r="D40" s="172"/>
    </row>
    <row r="41" spans="1:5" ht="18.75" customHeight="1">
      <c r="A41" s="57" t="str">
        <f ca="1">LEFT('Table A3'!A2,SEARCH(":",'Table A3'!A2)-1)</f>
        <v>Table A3</v>
      </c>
      <c r="B41" s="58" t="str">
        <f t="shared" ca="1" si="2"/>
        <v>&gt;&gt;</v>
      </c>
      <c r="C41" s="1" t="str">
        <f t="shared" ca="1" si="3"/>
        <v>Full-time students location of study by institution type</v>
      </c>
      <c r="D41" s="172"/>
    </row>
    <row r="42" spans="1:5" ht="18.75" customHeight="1">
      <c r="A42" s="57" t="str">
        <f ca="1">LEFT('Table A4'!A2,SEARCH(":",'Table A4'!A2)-1)</f>
        <v>Table A4</v>
      </c>
      <c r="B42" s="58" t="str">
        <f ca="1">HYPERLINK(CONCATENATE("#'",A42,"'!A3"),"&gt;&gt;")</f>
        <v>&gt;&gt;</v>
      </c>
      <c r="C42" s="1" t="str">
        <f ca="1">MID(INDIRECT(CONCATENATE("'",A42,"'!A2")),SEARCH(":",INDIRECT(CONCATENATE("'",A42,"'!A2")))+2,LEN(INDIRECT(CONCATENATE("'",A42,"'!A2"))))</f>
        <v>Full-time students institution location type by support type provided</v>
      </c>
      <c r="D42" s="172"/>
    </row>
    <row r="43" spans="1:5" ht="18.75" customHeight="1">
      <c r="A43" s="57" t="str">
        <f ca="1">LEFT('Table A5'!A2,SEARCH(":",'Table A5'!A2)-1)</f>
        <v>Table A5</v>
      </c>
      <c r="B43" s="58" t="str">
        <f t="shared" ca="1" si="2"/>
        <v>&gt;&gt;</v>
      </c>
      <c r="C43" s="1" t="str">
        <f t="shared" ca="1" si="3"/>
        <v>Full-time students age by gender</v>
      </c>
      <c r="D43" s="172"/>
    </row>
    <row r="44" spans="1:5" ht="18.75" customHeight="1">
      <c r="A44" s="57" t="str">
        <f ca="1">LEFT('Table A6'!A2,SEARCH(":",'Table A6'!A2)-1)</f>
        <v>Table A6</v>
      </c>
      <c r="B44" s="58" t="str">
        <f ca="1">HYPERLINK(CONCATENATE("#'",A44,"'!A3"),"&gt;&gt;")</f>
        <v>&gt;&gt;</v>
      </c>
      <c r="C44" s="1" t="str">
        <f ca="1">MID(INDIRECT(CONCATENATE("'",A44,"'!A2")),SEARCH(":",INDIRECT(CONCATENATE("'",A44,"'!A2")))+2,LEN(INDIRECT(CONCATENATE("'",A44,"'!A2"))))</f>
        <v>Full-time students household income by type of support</v>
      </c>
      <c r="D44" s="172"/>
    </row>
    <row r="45" spans="1:5" ht="18.75" customHeight="1">
      <c r="A45" s="57" t="str">
        <f ca="1">LEFT('Table A7'!A2,SEARCH(":",'Table A7'!A2)-1)</f>
        <v>Table A7</v>
      </c>
      <c r="B45" s="58" t="str">
        <f t="shared" ca="1" si="2"/>
        <v>&gt;&gt;</v>
      </c>
      <c r="C45" s="1" t="str">
        <f t="shared" ca="1" si="3"/>
        <v>Full-time students qualification type and domicile of student</v>
      </c>
      <c r="D45" s="172"/>
    </row>
    <row r="46" spans="1:5" ht="18.75" customHeight="1">
      <c r="A46" s="57" t="str">
        <f ca="1">LEFT('Table A8'!A2,SEARCH(":",'Table A8'!A2)-1)</f>
        <v>Table A8</v>
      </c>
      <c r="B46" s="58" t="str">
        <f ca="1">HYPERLINK(CONCATENATE("#'",A46,"'!A3"),"&gt;&gt;")</f>
        <v>&gt;&gt;</v>
      </c>
      <c r="C46" s="1" t="str">
        <f ca="1">MID(INDIRECT(CONCATENATE("'",A46,"'!A2")),SEARCH(":",INDIRECT(CONCATENATE("'",A46,"'!A2")))+2,LEN(INDIRECT(CONCATENATE("'",A46,"'!A2"))))</f>
        <v>Full-time students receiving bursaries and grants (number of students)</v>
      </c>
      <c r="D46" s="172"/>
    </row>
    <row r="47" spans="1:5" ht="18.75" customHeight="1">
      <c r="A47" s="57" t="str">
        <f ca="1">LEFT('Table A9'!A2,SEARCH(":",'Table A9'!A2)-1)</f>
        <v>Table A9</v>
      </c>
      <c r="B47" s="58" t="str">
        <f ca="1">HYPERLINK(CONCATENATE("#'",A47,"'!A3"),"&gt;&gt;")</f>
        <v>&gt;&gt;</v>
      </c>
      <c r="C47" s="1" t="str">
        <f ca="1">MID(INDIRECT(CONCATENATE("'",A47,"'!A2")),SEARCH(":",INDIRECT(CONCATENATE("'",A47,"'!A2")))+2,LEN(INDIRECT(CONCATENATE("'",A47,"'!A2"))))</f>
        <v>Full-time students receiving bursaries and grants (amount £ million)</v>
      </c>
      <c r="D47" s="172"/>
    </row>
    <row r="48" spans="1:5" ht="18.75" customHeight="1">
      <c r="A48" s="57" t="str">
        <f ca="1">LEFT('Table A10'!A2,SEARCH(":",'Table A10'!A2)-1)</f>
        <v>Table A10</v>
      </c>
      <c r="B48" s="58" t="str">
        <f t="shared" ca="1" si="2"/>
        <v>&gt;&gt;</v>
      </c>
      <c r="C48" s="1" t="str">
        <f t="shared" ca="1" si="3"/>
        <v>Full-time students level of tuition fee support</v>
      </c>
      <c r="D48" s="172"/>
    </row>
    <row r="49" spans="1:5" ht="18.75" customHeight="1">
      <c r="A49" s="57" t="str">
        <f ca="1">LEFT('Table A11'!A2,SEARCH(":",'Table A11'!A2)-1)</f>
        <v>Table A11</v>
      </c>
      <c r="B49" s="58" t="str">
        <f t="shared" ca="1" si="2"/>
        <v>&gt;&gt;</v>
      </c>
      <c r="C49" s="1" t="str">
        <f t="shared" ca="1" si="3"/>
        <v>Full-time students receiving living cost loan support</v>
      </c>
      <c r="D49" s="172"/>
    </row>
    <row r="50" spans="1:5" ht="18.75" customHeight="1">
      <c r="A50" s="57" t="str">
        <f ca="1">LEFT('Table A12'!A2,SEARCH(":",'Table A12'!A2)-1)</f>
        <v>Table A12</v>
      </c>
      <c r="B50" s="58" t="str">
        <f t="shared" ca="1" si="2"/>
        <v>&gt;&gt;</v>
      </c>
      <c r="C50" s="1" t="str">
        <f t="shared" ca="1" si="3"/>
        <v>Full-time students receving DSA support by disability type</v>
      </c>
      <c r="D50" s="172"/>
    </row>
    <row r="51" spans="1:5" ht="18.75" customHeight="1">
      <c r="A51" s="57" t="str">
        <f ca="1">LEFT('Table A13'!A2,SEARCH(":",'Table A13'!A2)-1)</f>
        <v>Table A13</v>
      </c>
      <c r="B51" s="58" t="str">
        <f t="shared" ref="B51" ca="1" si="4">HYPERLINK(CONCATENATE("#'",A51,"'!A3"),"&gt;&gt;")</f>
        <v>&gt;&gt;</v>
      </c>
      <c r="C51" s="1" t="str">
        <f t="shared" ref="C51" ca="1" si="5">MID(INDIRECT(CONCATENATE("'",A51,"'!A2")),SEARCH(":",INDIRECT(CONCATENATE("'",A51,"'!A2")))+2,LEN(INDIRECT(CONCATENATE("'",A51,"'!A2"))))</f>
        <v>Full-time students type of support by SIMD quintile</v>
      </c>
      <c r="D51" s="172"/>
    </row>
    <row r="52" spans="1:5" ht="18.75" customHeight="1">
      <c r="A52" s="57"/>
      <c r="B52" s="3"/>
    </row>
    <row r="53" spans="1:5" ht="18.75" customHeight="1">
      <c r="A53" s="281" t="s">
        <v>267</v>
      </c>
      <c r="B53" s="144"/>
      <c r="C53" s="144"/>
      <c r="D53" s="144"/>
      <c r="E53" s="144"/>
    </row>
    <row r="54" spans="1:5" ht="18.75" customHeight="1">
      <c r="A54" s="57" t="str">
        <f ca="1">LEFT('Figure A1'!A2,SEARCH(":",'Figure A1'!A2)-1)</f>
        <v>Figure A1</v>
      </c>
      <c r="B54" s="58" t="str">
        <f ca="1">HYPERLINK(CONCATENATE("#'",A54,"'!A3"),"&gt;&gt;")</f>
        <v>&gt;&gt;</v>
      </c>
      <c r="C54" s="1" t="str">
        <f ca="1">MID(INDIRECT(CONCATENATE("'",A54,"'!A2")),SEARCH(":",INDIRECT(CONCATENATE("'",A54,"'!A2")))+2,LEN(INDIRECT(CONCATENATE("'",A54,"'!A2"))))</f>
        <v>Number of applications by September of each year for full-time student support and domicile of student</v>
      </c>
      <c r="D54" s="172"/>
    </row>
    <row r="55" spans="1:5" ht="18.75" customHeight="1">
      <c r="A55" s="57" t="str">
        <f ca="1">LEFT('Table A14'!A2,SEARCH(":",'Table A14'!A2)-1)</f>
        <v>Table A14</v>
      </c>
      <c r="B55" s="58" t="str">
        <f ca="1">HYPERLINK(CONCATENATE("#'",A55,"'!A3"),"&gt;&gt;")</f>
        <v>&gt;&gt;</v>
      </c>
      <c r="C55" s="1" t="str">
        <f ca="1">MID(INDIRECT(CONCATENATE("'",A55,"'!A2")),SEARCH(":",INDIRECT(CONCATENATE("'",A55,"'!A2")))+2,LEN(INDIRECT(CONCATENATE("'",A55,"'!A2"))))</f>
        <v>Number of applications for full-time student support and proportion of students receiving support by end of session</v>
      </c>
      <c r="D55" s="172"/>
    </row>
    <row r="56" spans="1:5" ht="18.75" customHeight="1">
      <c r="A56" s="57"/>
      <c r="B56" s="3"/>
    </row>
  </sheetData>
  <mergeCells count="1">
    <mergeCell ref="A7:D7"/>
  </mergeCells>
  <pageMargins left="0.39370078740157483" right="0.39370078740157483" top="0.39370078740157483" bottom="0.39370078740157483" header="0" footer="0"/>
  <pageSetup paperSize="9" fitToHeight="0" orientation="portrait" r:id="rId1"/>
  <headerFooter>
    <oddFooter>&amp;C&amp;"Calibri,Regular"&amp;KFF0000RESTRICTED STATISTICS Not for release until 25 October 2016</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2060"/>
    <pageSetUpPr fitToPage="1"/>
  </sheetPr>
  <dimension ref="A1:K30"/>
  <sheetViews>
    <sheetView showGridLines="0" workbookViewId="0"/>
  </sheetViews>
  <sheetFormatPr defaultColWidth="10.7109375" defaultRowHeight="15.75"/>
  <cols>
    <col min="1" max="1" width="21.42578125" style="1" customWidth="1"/>
    <col min="2" max="16384" width="10.7109375" style="1"/>
  </cols>
  <sheetData>
    <row r="1" spans="1:11" ht="23.25">
      <c r="A1" s="138" t="str">
        <f>Contents!A1</f>
        <v>Higher Education Student Support in Scotland 2017-18</v>
      </c>
      <c r="B1" s="139"/>
      <c r="C1" s="139"/>
      <c r="D1" s="139"/>
      <c r="E1" s="139"/>
      <c r="F1" s="139"/>
      <c r="G1" s="139"/>
      <c r="H1" s="139"/>
      <c r="I1" s="139"/>
      <c r="J1" s="139"/>
      <c r="K1" s="140" t="s">
        <v>70</v>
      </c>
    </row>
    <row r="2" spans="1:11" ht="18.75">
      <c r="A2" s="60" t="str">
        <f ca="1">CONCATENATE(REPLACE(CELL("Filename",A2),1,FIND("]",CELL("filename",A2)),""),": Full-time students household income")</f>
        <v>Figure 3.6: Full-time students household income</v>
      </c>
      <c r="B2" s="33"/>
      <c r="C2" s="33"/>
      <c r="D2" s="33"/>
      <c r="E2" s="33"/>
      <c r="F2" s="33"/>
      <c r="G2" s="33"/>
      <c r="H2" s="33"/>
      <c r="I2" s="33"/>
      <c r="J2" s="33"/>
      <c r="K2" s="59"/>
    </row>
    <row r="3" spans="1:11">
      <c r="A3" s="172"/>
    </row>
    <row r="27" spans="1:1">
      <c r="A27" s="2" t="s">
        <v>74</v>
      </c>
    </row>
    <row r="28" spans="1:1" s="52" customFormat="1"/>
    <row r="29" spans="1:1">
      <c r="A29" s="56" t="str">
        <f ca="1">'Table A6'!A2</f>
        <v>Table A6: Full-time students household income by type of support</v>
      </c>
    </row>
    <row r="30" spans="1:1">
      <c r="A30" s="61" t="str">
        <f ca="1">HYPERLINK(CONCATENATE("#'",LEFT(A29,SEARCH(":",A29)-1),"'!A3"),"&gt;&gt;")</f>
        <v>&gt;&gt;</v>
      </c>
    </row>
  </sheetData>
  <hyperlinks>
    <hyperlink ref="K1" location="Contents!A1" display="&gt;&gt; Contents"/>
  </hyperlinks>
  <pageMargins left="0.39370078740157483" right="0.39370078740157483" top="0.39370078740157483" bottom="0.39370078740157483" header="0" footer="0"/>
  <pageSetup paperSize="9" scale="75" fitToHeight="0" orientation="portrait" r:id="rId1"/>
  <headerFooter>
    <oddFooter>&amp;C&amp;"Calibri,Regular"&amp;KFF0000RESTRICTED STATISTICS Not for release until 25 October 2016</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002060"/>
    <pageSetUpPr fitToPage="1"/>
  </sheetPr>
  <dimension ref="A1:M43"/>
  <sheetViews>
    <sheetView showGridLines="0" workbookViewId="0"/>
  </sheetViews>
  <sheetFormatPr defaultColWidth="10.7109375" defaultRowHeight="15.75"/>
  <cols>
    <col min="1" max="1" width="21.42578125" style="1" customWidth="1"/>
    <col min="2" max="2" width="0" style="1" hidden="1" customWidth="1"/>
    <col min="3" max="3" width="10.7109375" style="1" hidden="1" customWidth="1"/>
    <col min="4" max="16384" width="10.7109375" style="1"/>
  </cols>
  <sheetData>
    <row r="1" spans="1:12" ht="23.25">
      <c r="A1" s="138" t="str">
        <f>Contents!A1</f>
        <v>Higher Education Student Support in Scotland 2017-18</v>
      </c>
      <c r="B1" s="139"/>
      <c r="C1" s="139"/>
      <c r="D1" s="139"/>
      <c r="E1" s="139"/>
      <c r="F1" s="139"/>
      <c r="G1" s="139"/>
      <c r="H1" s="139"/>
      <c r="I1" s="139"/>
      <c r="J1" s="139"/>
      <c r="K1" s="140"/>
      <c r="L1" s="140" t="s">
        <v>70</v>
      </c>
    </row>
    <row r="2" spans="1:12" ht="18.75">
      <c r="A2" s="60" t="str">
        <f ca="1">CONCATENATE(REPLACE(CELL("Filename",A2),1,FIND("]",CELL("filename",A2)),""),": Full-time students qualification type by year")</f>
        <v>Figure 3.7: Full-time students qualification type by year</v>
      </c>
      <c r="B2" s="33"/>
      <c r="C2" s="33"/>
      <c r="D2" s="33"/>
      <c r="E2" s="33"/>
      <c r="F2" s="33"/>
      <c r="G2" s="33"/>
      <c r="H2" s="33"/>
      <c r="I2" s="33"/>
      <c r="J2" s="33"/>
      <c r="K2" s="59"/>
      <c r="L2" s="59"/>
    </row>
    <row r="3" spans="1:12">
      <c r="A3" s="172"/>
    </row>
    <row r="27" spans="1:13">
      <c r="A27" s="2" t="s">
        <v>74</v>
      </c>
    </row>
    <row r="28" spans="1:13" s="52" customFormat="1"/>
    <row r="29" spans="1:13">
      <c r="A29" s="56" t="str">
        <f ca="1">'Table A7'!A2</f>
        <v>Table A7: Full-time students qualification type and domicile of student</v>
      </c>
    </row>
    <row r="30" spans="1:13">
      <c r="A30" s="61" t="str">
        <f ca="1">HYPERLINK(CONCATENATE("#'",LEFT(A29,SEARCH(":",A29)-1),"'!A3"),"&gt;&gt;")</f>
        <v>&gt;&gt;</v>
      </c>
    </row>
    <row r="31" spans="1:13" s="320" customFormat="1"/>
    <row r="32" spans="1:13" s="320" customFormat="1">
      <c r="A32" s="321"/>
      <c r="B32" s="322" t="str">
        <f>'Table A7'!B4</f>
        <v>2004-05</v>
      </c>
      <c r="C32" s="322" t="str">
        <f>'Table A7'!C4</f>
        <v>2005-06</v>
      </c>
      <c r="D32" s="322" t="str">
        <f>'Table A7'!D4</f>
        <v>2008-09</v>
      </c>
      <c r="E32" s="322" t="str">
        <f>'Table A7'!E4</f>
        <v>2009-10</v>
      </c>
      <c r="F32" s="322" t="str">
        <f>'Table A7'!F4</f>
        <v>2010-11</v>
      </c>
      <c r="G32" s="322" t="str">
        <f>'Table A7'!G4</f>
        <v>2011-12</v>
      </c>
      <c r="H32" s="322" t="str">
        <f>'Table A7'!H4</f>
        <v>2012-13</v>
      </c>
      <c r="I32" s="322" t="str">
        <f>'Table A7'!I4</f>
        <v>2013-14</v>
      </c>
      <c r="J32" s="322" t="str">
        <f>'Table A7'!J4</f>
        <v>2014-15</v>
      </c>
      <c r="K32" s="322" t="str">
        <f>'Table A7'!K4</f>
        <v>2015-16</v>
      </c>
      <c r="L32" s="322" t="str">
        <f>'Table A7'!L4</f>
        <v>2016-17</v>
      </c>
      <c r="M32" s="322" t="str">
        <f>'Table A7'!M4</f>
        <v>2017-18</v>
      </c>
    </row>
    <row r="33" spans="1:13" s="320" customFormat="1">
      <c r="A33" s="323" t="str">
        <f>'Table A7'!A5</f>
        <v>Total</v>
      </c>
      <c r="B33" s="324">
        <f>'Table A7'!B5</f>
        <v>120525</v>
      </c>
      <c r="C33" s="324">
        <f>'Table A7'!C5</f>
        <v>121235</v>
      </c>
      <c r="D33" s="324">
        <f>'Table A7'!D5</f>
        <v>124845</v>
      </c>
      <c r="E33" s="324">
        <f>'Table A7'!E5</f>
        <v>130680</v>
      </c>
      <c r="F33" s="324">
        <f>'Table A7'!F5</f>
        <v>133175</v>
      </c>
      <c r="G33" s="324">
        <f>'Table A7'!G5</f>
        <v>133990</v>
      </c>
      <c r="H33" s="324">
        <f>'Table A7'!H5</f>
        <v>135375</v>
      </c>
      <c r="I33" s="324">
        <f>'Table A7'!I5</f>
        <v>137270</v>
      </c>
      <c r="J33" s="324">
        <f>'Table A7'!J5</f>
        <v>139370</v>
      </c>
      <c r="K33" s="324">
        <f>'Table A7'!K5</f>
        <v>141235</v>
      </c>
      <c r="L33" s="324">
        <f>'Table A7'!L5</f>
        <v>143500</v>
      </c>
      <c r="M33" s="324">
        <f>'Table A7'!M5</f>
        <v>147920</v>
      </c>
    </row>
    <row r="34" spans="1:13" s="320" customFormat="1">
      <c r="A34" s="325" t="str">
        <f>'Table A7'!A6</f>
        <v>Postgraduate</v>
      </c>
      <c r="B34" s="326">
        <f>'Table A7'!B6</f>
        <v>4290</v>
      </c>
      <c r="C34" s="326">
        <f>'Table A7'!C6</f>
        <v>5085</v>
      </c>
      <c r="D34" s="326">
        <f>'Table A7'!D6</f>
        <v>4755</v>
      </c>
      <c r="E34" s="326">
        <f>'Table A7'!E6</f>
        <v>4290</v>
      </c>
      <c r="F34" s="326">
        <f>'Table A7'!F6</f>
        <v>3925</v>
      </c>
      <c r="G34" s="326">
        <f>'Table A7'!G6</f>
        <v>3775</v>
      </c>
      <c r="H34" s="326">
        <f>'Table A7'!H6</f>
        <v>3440</v>
      </c>
      <c r="I34" s="326">
        <f>'Table A7'!I6</f>
        <v>3640</v>
      </c>
      <c r="J34" s="326">
        <f>'Table A7'!J6</f>
        <v>3595</v>
      </c>
      <c r="K34" s="326">
        <f>'Table A7'!K6</f>
        <v>4155</v>
      </c>
      <c r="L34" s="326">
        <f>'Table A7'!L6</f>
        <v>5365</v>
      </c>
      <c r="M34" s="326">
        <f>'Table A7'!M6</f>
        <v>8285</v>
      </c>
    </row>
    <row r="35" spans="1:13" s="320" customFormat="1">
      <c r="A35" s="325" t="str">
        <f>'Table A7'!A7</f>
        <v>First Degree</v>
      </c>
      <c r="B35" s="326">
        <f>'Table A7'!B7</f>
        <v>88830</v>
      </c>
      <c r="C35" s="326">
        <f>'Table A7'!C7</f>
        <v>88680</v>
      </c>
      <c r="D35" s="326">
        <f>'Table A7'!D7</f>
        <v>92090</v>
      </c>
      <c r="E35" s="326">
        <f>'Table A7'!E7</f>
        <v>95895</v>
      </c>
      <c r="F35" s="326">
        <f>'Table A7'!F7</f>
        <v>96930</v>
      </c>
      <c r="G35" s="326">
        <f>'Table A7'!G7</f>
        <v>97510</v>
      </c>
      <c r="H35" s="326">
        <f>'Table A7'!H7</f>
        <v>99300</v>
      </c>
      <c r="I35" s="326">
        <f>'Table A7'!I7</f>
        <v>100055</v>
      </c>
      <c r="J35" s="326">
        <f>'Table A7'!J7</f>
        <v>101675</v>
      </c>
      <c r="K35" s="326">
        <f>'Table A7'!K7</f>
        <v>102980</v>
      </c>
      <c r="L35" s="326">
        <f>'Table A7'!L7</f>
        <v>104035</v>
      </c>
      <c r="M35" s="326">
        <f>'Table A7'!M7</f>
        <v>105495</v>
      </c>
    </row>
    <row r="36" spans="1:13" s="320" customFormat="1">
      <c r="A36" s="325" t="str">
        <f>'Table A7'!A8</f>
        <v>Other undergraduate</v>
      </c>
      <c r="B36" s="326">
        <f>'Table A7'!B8</f>
        <v>27395</v>
      </c>
      <c r="C36" s="326">
        <f>'Table A7'!C8</f>
        <v>27460</v>
      </c>
      <c r="D36" s="326">
        <f>'Table A7'!D8</f>
        <v>27955</v>
      </c>
      <c r="E36" s="326">
        <f>'Table A7'!E8</f>
        <v>30460</v>
      </c>
      <c r="F36" s="326">
        <f>'Table A7'!F8</f>
        <v>32320</v>
      </c>
      <c r="G36" s="326">
        <f>'Table A7'!G8</f>
        <v>32705</v>
      </c>
      <c r="H36" s="326">
        <f>'Table A7'!H8</f>
        <v>32635</v>
      </c>
      <c r="I36" s="326">
        <f>'Table A7'!I8</f>
        <v>33575</v>
      </c>
      <c r="J36" s="326">
        <f>'Table A7'!J8</f>
        <v>34100</v>
      </c>
      <c r="K36" s="326">
        <f>'Table A7'!K8</f>
        <v>33865</v>
      </c>
      <c r="L36" s="326">
        <f>'Table A7'!L8</f>
        <v>34100</v>
      </c>
      <c r="M36" s="326">
        <f>'Table A7'!M8</f>
        <v>34140</v>
      </c>
    </row>
    <row r="37" spans="1:13" s="320" customFormat="1"/>
    <row r="38" spans="1:13" s="320" customFormat="1">
      <c r="A38" s="323" t="s">
        <v>133</v>
      </c>
    </row>
    <row r="39" spans="1:13" s="320" customFormat="1">
      <c r="A39" s="325" t="str">
        <f>A34</f>
        <v>Postgraduate</v>
      </c>
      <c r="B39" s="327">
        <f>B34/B$33</f>
        <v>3.5594275046670815E-2</v>
      </c>
      <c r="C39" s="327">
        <f t="shared" ref="C39" si="0">C34/C$33</f>
        <v>4.1943333195859279E-2</v>
      </c>
      <c r="D39" s="327">
        <f t="shared" ref="D39:K41" si="1">D34/D$33</f>
        <v>3.8087228162922024E-2</v>
      </c>
      <c r="E39" s="327">
        <f t="shared" si="1"/>
        <v>3.2828282828282832E-2</v>
      </c>
      <c r="F39" s="327">
        <f t="shared" si="1"/>
        <v>2.9472498592078091E-2</v>
      </c>
      <c r="G39" s="327">
        <f t="shared" si="1"/>
        <v>2.8173744309276813E-2</v>
      </c>
      <c r="H39" s="327">
        <f t="shared" si="1"/>
        <v>2.5410895660203138E-2</v>
      </c>
      <c r="I39" s="327">
        <f t="shared" si="1"/>
        <v>2.6517083120856707E-2</v>
      </c>
      <c r="J39" s="327">
        <f t="shared" si="1"/>
        <v>2.5794647341608669E-2</v>
      </c>
      <c r="K39" s="327">
        <f t="shared" si="1"/>
        <v>2.9419053350798315E-2</v>
      </c>
      <c r="L39" s="327">
        <f t="shared" ref="L39:M39" si="2">L34/L$33</f>
        <v>3.7386759581881535E-2</v>
      </c>
      <c r="M39" s="327">
        <f t="shared" si="2"/>
        <v>5.6010005408328824E-2</v>
      </c>
    </row>
    <row r="40" spans="1:13" s="320" customFormat="1">
      <c r="A40" s="325" t="str">
        <f>A35</f>
        <v>First Degree</v>
      </c>
      <c r="B40" s="327">
        <f t="shared" ref="B40:C40" si="3">B35/B$33</f>
        <v>0.73702551337896705</v>
      </c>
      <c r="C40" s="327">
        <f t="shared" si="3"/>
        <v>0.73147193467233063</v>
      </c>
      <c r="D40" s="327">
        <f t="shared" si="1"/>
        <v>0.73763466698706392</v>
      </c>
      <c r="E40" s="327">
        <f t="shared" si="1"/>
        <v>0.73381542699724522</v>
      </c>
      <c r="F40" s="327">
        <f t="shared" si="1"/>
        <v>0.72783930917965078</v>
      </c>
      <c r="G40" s="327">
        <f t="shared" si="1"/>
        <v>0.72774087618478989</v>
      </c>
      <c r="H40" s="327">
        <f t="shared" si="1"/>
        <v>0.73351800554016622</v>
      </c>
      <c r="I40" s="327">
        <f t="shared" si="1"/>
        <v>0.72889196474102136</v>
      </c>
      <c r="J40" s="327">
        <f t="shared" si="1"/>
        <v>0.72953289804118537</v>
      </c>
      <c r="K40" s="327">
        <f t="shared" si="1"/>
        <v>0.72913937763302294</v>
      </c>
      <c r="L40" s="327">
        <f t="shared" ref="L40:M40" si="4">L35/L$33</f>
        <v>0.72498257839721258</v>
      </c>
      <c r="M40" s="327">
        <f t="shared" si="4"/>
        <v>0.71318956192536509</v>
      </c>
    </row>
    <row r="41" spans="1:13" s="320" customFormat="1">
      <c r="A41" s="325" t="str">
        <f>A36</f>
        <v>Other undergraduate</v>
      </c>
      <c r="B41" s="327">
        <f t="shared" ref="B41:C41" si="5">B36/B$33</f>
        <v>0.22729724123625802</v>
      </c>
      <c r="C41" s="327">
        <f t="shared" si="5"/>
        <v>0.22650224770074648</v>
      </c>
      <c r="D41" s="327">
        <f t="shared" si="1"/>
        <v>0.22391765789579077</v>
      </c>
      <c r="E41" s="327">
        <f t="shared" si="1"/>
        <v>0.23308846036118763</v>
      </c>
      <c r="F41" s="327">
        <f t="shared" si="1"/>
        <v>0.24268819222827107</v>
      </c>
      <c r="G41" s="327">
        <f t="shared" si="1"/>
        <v>0.24408537950593329</v>
      </c>
      <c r="H41" s="327">
        <f t="shared" si="1"/>
        <v>0.24107109879963065</v>
      </c>
      <c r="I41" s="327">
        <f t="shared" si="1"/>
        <v>0.24459095213812196</v>
      </c>
      <c r="J41" s="327">
        <f t="shared" si="1"/>
        <v>0.24467245461720599</v>
      </c>
      <c r="K41" s="327">
        <f t="shared" si="1"/>
        <v>0.23977767550536341</v>
      </c>
      <c r="L41" s="327">
        <f t="shared" ref="L41:M41" si="6">L36/L$33</f>
        <v>0.23763066202090594</v>
      </c>
      <c r="M41" s="327">
        <f t="shared" si="6"/>
        <v>0.23080043266630612</v>
      </c>
    </row>
    <row r="42" spans="1:13" s="320" customFormat="1"/>
    <row r="43" spans="1:13" s="320" customFormat="1"/>
  </sheetData>
  <hyperlinks>
    <hyperlink ref="L1" location="Contents!A1" display="&gt;&gt; Contents"/>
  </hyperlinks>
  <pageMargins left="0.39370078740157483" right="0.39370078740157483" top="0.39370078740157483" bottom="0.39370078740157483" header="0" footer="0"/>
  <pageSetup paperSize="9" scale="75" fitToHeight="0" orientation="portrait" r:id="rId1"/>
  <headerFooter>
    <oddFooter>&amp;C&amp;"Calibri,Regular"&amp;KFF0000RESTRICTED STATISTICS Not for release until 25 October 2016</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002060"/>
    <pageSetUpPr fitToPage="1"/>
  </sheetPr>
  <dimension ref="A1:J56"/>
  <sheetViews>
    <sheetView showGridLines="0" zoomScaleNormal="100" workbookViewId="0"/>
  </sheetViews>
  <sheetFormatPr defaultColWidth="10.7109375" defaultRowHeight="15.75"/>
  <cols>
    <col min="1" max="1" width="21.42578125" style="1" customWidth="1"/>
    <col min="2" max="2" width="10.7109375" style="1"/>
    <col min="3" max="3" width="12.28515625" style="1" bestFit="1" customWidth="1"/>
    <col min="4" max="4" width="10.7109375" style="1"/>
    <col min="5" max="5" width="51.28515625" style="1" customWidth="1"/>
    <col min="6" max="16384" width="10.7109375" style="1"/>
  </cols>
  <sheetData>
    <row r="1" spans="1:8" ht="23.25">
      <c r="A1" s="138" t="str">
        <f>Contents!A1</f>
        <v>Higher Education Student Support in Scotland 2017-18</v>
      </c>
      <c r="B1" s="139"/>
      <c r="C1" s="139"/>
      <c r="D1" s="139"/>
      <c r="E1" s="139"/>
      <c r="F1" s="139"/>
      <c r="G1" s="139"/>
      <c r="H1" s="140" t="s">
        <v>70</v>
      </c>
    </row>
    <row r="2" spans="1:8" ht="18.75">
      <c r="A2" s="60" t="str">
        <f ca="1">CONCATENATE(REPLACE(CELL("Filename",A2),1,FIND("]",CELL("filename",A2)),""),": Full-time students type of bursaries and grants awarded")</f>
        <v>Figure 3.8: Full-time students type of bursaries and grants awarded</v>
      </c>
      <c r="B2" s="33"/>
      <c r="C2" s="33"/>
      <c r="D2" s="33"/>
      <c r="E2" s="33"/>
      <c r="F2" s="33"/>
      <c r="G2" s="33"/>
      <c r="H2" s="59"/>
    </row>
    <row r="3" spans="1:8">
      <c r="A3" s="172"/>
    </row>
    <row r="23" spans="1:4" s="52" customFormat="1">
      <c r="A23" s="1"/>
      <c r="B23" s="1"/>
      <c r="C23" s="1"/>
      <c r="D23" s="1"/>
    </row>
    <row r="36" spans="1:9">
      <c r="A36" s="2" t="s">
        <v>74</v>
      </c>
    </row>
    <row r="37" spans="1:9" s="100" customFormat="1">
      <c r="A37" s="52"/>
      <c r="B37" s="52"/>
      <c r="C37" s="52"/>
      <c r="D37" s="52"/>
      <c r="E37" s="1"/>
    </row>
    <row r="38" spans="1:9" s="100" customFormat="1">
      <c r="A38" s="56" t="str">
        <f ca="1">'Table A9'!A2</f>
        <v>Table A9: Full-time students receiving bursaries and grants (amount £ million)</v>
      </c>
      <c r="B38" s="1"/>
      <c r="C38" s="1"/>
      <c r="D38" s="1"/>
      <c r="E38" s="1"/>
    </row>
    <row r="39" spans="1:9" s="100" customFormat="1">
      <c r="A39" s="61" t="str">
        <f ca="1">HYPERLINK(CONCATENATE("#'",LEFT(A38,SEARCH(":",A38)-1),"'!A3"),"&gt;&gt;")</f>
        <v>&gt;&gt;</v>
      </c>
      <c r="B39" s="1"/>
      <c r="C39" s="1"/>
      <c r="D39" s="1"/>
      <c r="E39" s="1"/>
    </row>
    <row r="40" spans="1:9" s="100" customFormat="1">
      <c r="A40" s="61"/>
      <c r="B40" s="1"/>
      <c r="C40" s="1"/>
      <c r="D40" s="1"/>
      <c r="E40" s="1"/>
      <c r="H40" s="111"/>
    </row>
    <row r="41" spans="1:9" s="100" customFormat="1" hidden="1">
      <c r="A41" s="61"/>
      <c r="B41" s="1"/>
      <c r="C41" s="1"/>
      <c r="D41" s="1"/>
      <c r="E41" s="1"/>
      <c r="H41" s="111" t="s">
        <v>141</v>
      </c>
      <c r="I41" s="100">
        <f>10*20</f>
        <v>200</v>
      </c>
    </row>
    <row r="42" spans="1:9" s="100" customFormat="1" hidden="1">
      <c r="A42" s="1"/>
      <c r="B42" s="1"/>
      <c r="C42" s="1"/>
      <c r="D42" s="1"/>
      <c r="E42" s="1"/>
      <c r="G42" s="100">
        <v>10</v>
      </c>
      <c r="H42" s="100">
        <v>20</v>
      </c>
    </row>
    <row r="43" spans="1:9" s="100" customFormat="1" hidden="1">
      <c r="A43" s="101" t="str">
        <f>'Table A9'!A6</f>
        <v>Total award payments</v>
      </c>
      <c r="B43" s="169">
        <f>'Table A9'!M6</f>
        <v>76.328935000000001</v>
      </c>
      <c r="C43" s="103">
        <f>'Table A8'!M6</f>
        <v>53620</v>
      </c>
      <c r="E43" s="100" t="str">
        <f>CONCATENATE(TEXT(C43,"#,###")," students receiving ",TEXT(B43,"£#,###.0")," million of support")</f>
        <v>53,620 students receiving £76.3 million of support</v>
      </c>
      <c r="G43" s="111" t="s">
        <v>142</v>
      </c>
      <c r="H43" s="111" t="s">
        <v>143</v>
      </c>
      <c r="I43" s="111" t="s">
        <v>140</v>
      </c>
    </row>
    <row r="44" spans="1:9" s="100" customFormat="1" hidden="1">
      <c r="A44" s="1"/>
      <c r="B44" s="170"/>
      <c r="C44" s="1"/>
      <c r="D44" s="1"/>
      <c r="E44" s="1"/>
    </row>
    <row r="45" spans="1:9" s="100" customFormat="1" hidden="1">
      <c r="A45" s="101" t="str">
        <f>'Table A9'!A8</f>
        <v>Bursary</v>
      </c>
      <c r="B45" s="169">
        <f>SUM(B46:B48)</f>
        <v>63.058377</v>
      </c>
      <c r="C45" s="104">
        <f>B45/B$43</f>
        <v>0.82613987736105576</v>
      </c>
      <c r="E45" s="100" t="str">
        <f>CONCATENATE(TEXT(B45,"£#,##0.0")," million (",TEXT(C45,"0.0%"),")")</f>
        <v>£63.1 million (82.6%)</v>
      </c>
      <c r="G45" s="101">
        <v>10</v>
      </c>
      <c r="H45" s="112">
        <f>(I45/I$41)*H$42</f>
        <v>16.522797547221117</v>
      </c>
      <c r="I45" s="113">
        <f>I$41*C45</f>
        <v>165.22797547221114</v>
      </c>
    </row>
    <row r="46" spans="1:9" s="100" customFormat="1" hidden="1">
      <c r="A46" s="105" t="str">
        <f>'Table A9'!A11</f>
        <v>Young Students Bursary</v>
      </c>
      <c r="B46" s="169">
        <f>'Table A9'!M11</f>
        <v>43.812925999999997</v>
      </c>
      <c r="C46" s="104">
        <f>B46/B$43</f>
        <v>0.57400153690078337</v>
      </c>
      <c r="E46" s="100" t="str">
        <f>CONCATENATE(TEXT(B46,"£#,##0.0")," million (",TEXT(C46,"0.0%"),")")</f>
        <v>£43.8 million (57.4%)</v>
      </c>
      <c r="G46" s="112">
        <f>(I46/H46)</f>
        <v>6.9479945543159154</v>
      </c>
      <c r="H46" s="116">
        <f>H45</f>
        <v>16.522797547221117</v>
      </c>
      <c r="I46" s="113">
        <f>I$41*C46</f>
        <v>114.80030738015668</v>
      </c>
    </row>
    <row r="47" spans="1:9" s="100" customFormat="1" hidden="1">
      <c r="A47" s="105" t="str">
        <f>'Table A9'!A10</f>
        <v>Independent Students Bursary</v>
      </c>
      <c r="B47" s="169">
        <f>'Table A9'!M10</f>
        <v>15.414129000000001</v>
      </c>
      <c r="C47" s="104">
        <f>B47/B$43</f>
        <v>0.20194345696032573</v>
      </c>
      <c r="E47" s="100" t="str">
        <f>CONCATENATE(TEXT(B47,"£#,##0.0")," million (",TEXT(C47,"0.0%"),")")</f>
        <v>£15.4 million (20.2%)</v>
      </c>
      <c r="G47" s="112">
        <f>(I47/H47)</f>
        <v>2.4444220947836954</v>
      </c>
      <c r="H47" s="116">
        <f>H46</f>
        <v>16.522797547221117</v>
      </c>
      <c r="I47" s="113">
        <f>I$41*C47</f>
        <v>40.388691392065148</v>
      </c>
    </row>
    <row r="48" spans="1:9" s="100" customFormat="1" hidden="1">
      <c r="A48" s="105" t="s">
        <v>281</v>
      </c>
      <c r="B48" s="169">
        <f>'Table A9'!M9</f>
        <v>3.8313220000000001</v>
      </c>
      <c r="C48" s="104">
        <f>B48/B$43</f>
        <v>5.0194883499946649E-2</v>
      </c>
      <c r="E48" s="100" t="str">
        <f>CONCATENATE(TEXT(B48,"£#,##0.0")," million (",TEXT(C48,"0.0%"),")")</f>
        <v>£3.8 million (5.0%)</v>
      </c>
      <c r="G48" s="112">
        <f>(I48/H48)</f>
        <v>0.60758335090038873</v>
      </c>
      <c r="H48" s="116">
        <f>H47</f>
        <v>16.522797547221117</v>
      </c>
      <c r="I48" s="113">
        <f>I$41*C48</f>
        <v>10.03897669998933</v>
      </c>
    </row>
    <row r="49" spans="1:10" hidden="1">
      <c r="A49" s="100"/>
      <c r="B49" s="169"/>
      <c r="C49" s="100"/>
      <c r="D49" s="100"/>
      <c r="E49" s="100"/>
      <c r="G49" s="100"/>
      <c r="H49" s="112"/>
      <c r="I49" s="113"/>
      <c r="J49" s="100"/>
    </row>
    <row r="50" spans="1:10" hidden="1">
      <c r="A50" s="101" t="str">
        <f>'Table A9'!A16</f>
        <v>Living Cost Grants</v>
      </c>
      <c r="B50" s="169">
        <f>SUM(B51:B53)</f>
        <v>12.896467999999999</v>
      </c>
      <c r="C50" s="104">
        <f>B50/B$43</f>
        <v>0.16895909788339111</v>
      </c>
      <c r="D50" s="100"/>
      <c r="E50" s="100" t="str">
        <f>CONCATENATE(TEXT(B50,"£#,##0.0")," million (",TEXT(C50,"0.0%"),")")</f>
        <v>£12.9 million (16.9%)</v>
      </c>
      <c r="G50" s="114">
        <f>I50/H50</f>
        <v>9.7181052974562192</v>
      </c>
      <c r="H50" s="114">
        <f>H42-H45</f>
        <v>3.477202452778883</v>
      </c>
      <c r="I50" s="113">
        <f>I$41*C50</f>
        <v>33.791819576678222</v>
      </c>
      <c r="J50" s="100"/>
    </row>
    <row r="51" spans="1:10" hidden="1">
      <c r="A51" s="105" t="str">
        <f>'Table A9'!A17</f>
        <v>Dependants Grant</v>
      </c>
      <c r="B51" s="169">
        <f>'Table A9'!M17</f>
        <v>0.55196500000000004</v>
      </c>
      <c r="C51" s="104">
        <f>B51/B$43</f>
        <v>7.2313992066049401E-3</v>
      </c>
      <c r="D51" s="100"/>
      <c r="E51" s="100" t="str">
        <f>CONCATENATE(TEXT(B51,"£#,##0.0")," million (",TEXT(C51,"0.0%"),")")</f>
        <v>£0.6 million (0.7%)</v>
      </c>
      <c r="G51" s="112">
        <f>I51/H51</f>
        <v>0.41593202034157134</v>
      </c>
      <c r="H51" s="116">
        <f>H50</f>
        <v>3.477202452778883</v>
      </c>
      <c r="I51" s="113">
        <f>I$41*C51</f>
        <v>1.4462798413209881</v>
      </c>
      <c r="J51" s="100"/>
    </row>
    <row r="52" spans="1:10" hidden="1">
      <c r="A52" s="105" t="str">
        <f>'Table A9'!A18</f>
        <v>Lone Parents Grant</v>
      </c>
      <c r="B52" s="169">
        <f>'Table A9'!M18</f>
        <v>3.7905229999999999</v>
      </c>
      <c r="C52" s="104">
        <f>B52/B$43</f>
        <v>4.9660367984958778E-2</v>
      </c>
      <c r="D52" s="100"/>
      <c r="E52" s="100" t="str">
        <f>CONCATENATE(TEXT(B52,"£#,##0.0")," million (",TEXT(C52,"0.0%"),")")</f>
        <v>£3.8 million (5.0%)</v>
      </c>
      <c r="G52" s="112">
        <f>I52/H52</f>
        <v>2.8563403287186575</v>
      </c>
      <c r="H52" s="116">
        <f>H51</f>
        <v>3.477202452778883</v>
      </c>
      <c r="I52" s="113">
        <f>I$41*C52</f>
        <v>9.9320735969917564</v>
      </c>
      <c r="J52" s="100"/>
    </row>
    <row r="53" spans="1:10" hidden="1">
      <c r="A53" s="105" t="str">
        <f>'Table A9'!A19</f>
        <v>Disabled Students Allowance*</v>
      </c>
      <c r="B53" s="169">
        <f>'Table A9'!M19</f>
        <v>8.5539799999999993</v>
      </c>
      <c r="C53" s="104">
        <f>B53/B$43</f>
        <v>0.11206733069182741</v>
      </c>
      <c r="D53" s="100"/>
      <c r="E53" s="100" t="str">
        <f>CONCATENATE(TEXT(B53,"£#,##0.0")," million (",TEXT(C53,"0.0%"),")")</f>
        <v>£8.6 million (11.2%)</v>
      </c>
      <c r="G53" s="112">
        <f>I53/H53</f>
        <v>6.4458329483959922</v>
      </c>
      <c r="H53" s="116">
        <f>H52</f>
        <v>3.477202452778883</v>
      </c>
      <c r="I53" s="113">
        <f>I$41*C53</f>
        <v>22.413466138365482</v>
      </c>
      <c r="J53" s="100"/>
    </row>
    <row r="54" spans="1:10" hidden="1">
      <c r="B54" s="170"/>
      <c r="G54" s="100"/>
      <c r="H54" s="112"/>
      <c r="I54" s="113"/>
      <c r="J54" s="100"/>
    </row>
    <row r="55" spans="1:10" hidden="1">
      <c r="A55" s="101" t="str">
        <f>'Table A9'!A26</f>
        <v>Other</v>
      </c>
      <c r="B55" s="169">
        <f>SUM(B56)</f>
        <v>0.37409900000000001</v>
      </c>
      <c r="C55" s="104">
        <f>B55/B$43</f>
        <v>4.901142666277212E-3</v>
      </c>
      <c r="D55" s="100"/>
      <c r="E55" s="100" t="str">
        <f>CONCATENATE(TEXT(B55,"£#,##0.0")," million (",TEXT(C55,"0.0%"),")")</f>
        <v>£0.4 million (0.5%)</v>
      </c>
      <c r="G55" s="114">
        <f>I55/H55</f>
        <v>0.28190148447412694</v>
      </c>
      <c r="H55" s="114">
        <f>H50</f>
        <v>3.477202452778883</v>
      </c>
      <c r="I55" s="113">
        <f>I$41*C55</f>
        <v>0.98022853325544246</v>
      </c>
      <c r="J55" s="100"/>
    </row>
    <row r="56" spans="1:10" hidden="1">
      <c r="A56" s="105" t="str">
        <f>'Table A9'!A27</f>
        <v xml:space="preserve">Adhoc Payments </v>
      </c>
      <c r="B56" s="169">
        <f>'Table A9'!M27</f>
        <v>0.37409900000000001</v>
      </c>
      <c r="C56" s="104">
        <f>B56/B$43</f>
        <v>4.901142666277212E-3</v>
      </c>
      <c r="D56" s="100"/>
      <c r="E56" s="100" t="str">
        <f>CONCATENATE(TEXT(B56,"£#,##0.0")," million (",TEXT(C56,"0.0%"),")")</f>
        <v>£0.4 million (0.5%)</v>
      </c>
      <c r="G56" s="112">
        <f>I56/H56</f>
        <v>0.28190148447412694</v>
      </c>
      <c r="H56" s="116">
        <f>H55</f>
        <v>3.477202452778883</v>
      </c>
      <c r="I56" s="113">
        <f>I$41*C56</f>
        <v>0.98022853325544246</v>
      </c>
      <c r="J56" s="100"/>
    </row>
  </sheetData>
  <hyperlinks>
    <hyperlink ref="H1" location="Contents!A1" display="&gt;&gt; Contents"/>
  </hyperlinks>
  <pageMargins left="0.39370078740157483" right="0.39370078740157483" top="0.39370078740157483" bottom="0.39370078740157483" header="0" footer="0"/>
  <pageSetup paperSize="9" scale="65" fitToHeight="0" orientation="portrait" r:id="rId1"/>
  <headerFooter>
    <oddFooter>&amp;C&amp;"Calibri,Regular"&amp;KFF0000RESTRICTED STATISTICS Not for release until 25 October 2016</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rgb="FF002060"/>
    <pageSetUpPr fitToPage="1"/>
  </sheetPr>
  <dimension ref="A1:L45"/>
  <sheetViews>
    <sheetView showGridLines="0" zoomScaleNormal="100" workbookViewId="0"/>
  </sheetViews>
  <sheetFormatPr defaultColWidth="10.7109375" defaultRowHeight="15.75"/>
  <cols>
    <col min="1" max="1" width="21.42578125" style="1" customWidth="1"/>
    <col min="2" max="16384" width="10.7109375" style="1"/>
  </cols>
  <sheetData>
    <row r="1" spans="1:11" ht="23.25">
      <c r="A1" s="138" t="str">
        <f>Contents!A1</f>
        <v>Higher Education Student Support in Scotland 2017-18</v>
      </c>
      <c r="B1" s="139"/>
      <c r="C1" s="139"/>
      <c r="D1" s="139"/>
      <c r="E1" s="139"/>
      <c r="F1" s="139"/>
      <c r="G1" s="139"/>
      <c r="H1" s="139"/>
      <c r="I1" s="139"/>
      <c r="J1" s="139"/>
      <c r="K1" s="140" t="s">
        <v>70</v>
      </c>
    </row>
    <row r="2" spans="1:11" ht="18.75">
      <c r="A2" s="60" t="str">
        <f ca="1">CONCATENATE(REPLACE(CELL("Filename",A2),1,FIND("]",CELL("filename",A2)),""),": Full-time students level of tuition fee support")</f>
        <v>Figure 3.9: Full-time students level of tuition fee support</v>
      </c>
      <c r="B2" s="33"/>
      <c r="C2" s="33"/>
      <c r="D2" s="33"/>
      <c r="E2" s="33"/>
      <c r="F2" s="33"/>
      <c r="G2" s="33"/>
      <c r="H2" s="33"/>
      <c r="I2" s="33"/>
      <c r="J2" s="33"/>
      <c r="K2" s="59"/>
    </row>
    <row r="3" spans="1:11">
      <c r="A3" s="172"/>
    </row>
    <row r="22" spans="1:12" s="52" customFormat="1"/>
    <row r="25" spans="1:12">
      <c r="L25" s="18"/>
    </row>
    <row r="26" spans="1:12" s="100" customFormat="1">
      <c r="A26" s="2" t="s">
        <v>74</v>
      </c>
      <c r="B26" s="1"/>
      <c r="C26" s="1"/>
      <c r="D26" s="1"/>
      <c r="E26" s="1"/>
      <c r="F26" s="1"/>
      <c r="G26" s="1"/>
    </row>
    <row r="27" spans="1:12">
      <c r="A27" s="52"/>
      <c r="B27" s="52"/>
      <c r="C27" s="52"/>
      <c r="D27" s="52"/>
      <c r="E27" s="52"/>
      <c r="F27" s="52"/>
      <c r="G27" s="52"/>
    </row>
    <row r="28" spans="1:12">
      <c r="A28" s="56" t="str">
        <f ca="1">'Table A10'!A2</f>
        <v>Table A10: Full-time students level of tuition fee support</v>
      </c>
    </row>
    <row r="29" spans="1:12">
      <c r="A29" s="61" t="str">
        <f ca="1">HYPERLINK(CONCATENATE("#'",LEFT(A28,SEARCH(":",A28)-1),"'!A3"),"&gt;&gt;")</f>
        <v>&gt;&gt;</v>
      </c>
    </row>
    <row r="30" spans="1:12">
      <c r="A30" s="61"/>
    </row>
    <row r="31" spans="1:12" hidden="1">
      <c r="A31" s="100"/>
      <c r="B31" s="101" t="s">
        <v>77</v>
      </c>
      <c r="C31" s="101"/>
      <c r="D31" s="101" t="s">
        <v>131</v>
      </c>
      <c r="E31" s="101"/>
      <c r="F31" s="101" t="s">
        <v>132</v>
      </c>
      <c r="G31" s="100"/>
    </row>
    <row r="32" spans="1:12" hidden="1">
      <c r="A32" s="102" t="str">
        <f>'Table A10'!A20</f>
        <v>Full Fees</v>
      </c>
      <c r="B32" s="103">
        <f>'Table A10'!M21</f>
        <v>129615</v>
      </c>
      <c r="C32" s="100"/>
      <c r="D32" s="100" t="str">
        <f>CONCATENATE(TEXT('Table A10'!M22,"£#,##0.0")," million")</f>
        <v>£219.9 million</v>
      </c>
      <c r="E32" s="100"/>
      <c r="F32" s="110">
        <f>'Table A10'!M23</f>
        <v>1700</v>
      </c>
      <c r="G32" s="100"/>
      <c r="H32" s="295">
        <f>(SUM(B32:B34))/(SUM(B32:B35))</f>
        <v>0.93796349115801481</v>
      </c>
    </row>
    <row r="33" spans="1:7" hidden="1">
      <c r="A33" s="102" t="str">
        <f>'Table A10'!A25</f>
        <v>Half Fees</v>
      </c>
      <c r="B33" s="103">
        <f>'Table A10'!M26</f>
        <v>1025</v>
      </c>
      <c r="C33" s="100"/>
      <c r="D33" s="100" t="str">
        <f>CONCATENATE(TEXT('Table A10'!M27,"£#,##0.0")," million")</f>
        <v>£0.9 million</v>
      </c>
      <c r="E33" s="100"/>
      <c r="F33" s="110">
        <f>'Table A10'!M28</f>
        <v>910</v>
      </c>
      <c r="G33" s="100"/>
    </row>
    <row r="34" spans="1:7" hidden="1">
      <c r="A34" s="102" t="str">
        <f>'Table A10'!A30</f>
        <v>Other Fees</v>
      </c>
      <c r="B34" s="103">
        <f>'Table A10'!M31</f>
        <v>900</v>
      </c>
      <c r="C34" s="100"/>
      <c r="D34" s="100" t="str">
        <f>CONCATENATE(TEXT('Table A10'!M32,"£#,##0.0")," million")</f>
        <v>£2.6 million</v>
      </c>
      <c r="E34" s="100"/>
      <c r="F34" s="110">
        <f>'Table A10'!M33</f>
        <v>2940</v>
      </c>
      <c r="G34" s="100"/>
    </row>
    <row r="35" spans="1:7" hidden="1">
      <c r="A35" s="102" t="str">
        <f>'Table A10'!A10</f>
        <v>Fee Loans</v>
      </c>
      <c r="B35" s="103">
        <f>'Table A10'!M11</f>
        <v>8700</v>
      </c>
      <c r="C35" s="100"/>
      <c r="D35" s="100" t="str">
        <f>CONCATENATE(TEXT('Table A10'!M2,"£#,##0.0")," million")</f>
        <v>£0.0 million</v>
      </c>
      <c r="E35" s="100"/>
      <c r="F35" s="110">
        <f>'Table A10'!M13</f>
        <v>6270</v>
      </c>
    </row>
    <row r="36" spans="1:7" hidden="1">
      <c r="A36" s="102"/>
    </row>
    <row r="37" spans="1:7" hidden="1">
      <c r="A37" s="102" t="str">
        <f>CONCATENATE(A32," (",TEXT(B32/SUM(B$32:B$35),"0.0%"),")")</f>
        <v>Full Fees (92.4%)</v>
      </c>
      <c r="B37" s="100" t="str">
        <f>CONCATENATE(TEXT(B32,"#,###")," students receiving ",D32," in fees at an average of ",TEXT(F32,"£#,###")," per student")</f>
        <v>129,615 students receiving £219.9 million in fees at an average of £1,700 per student</v>
      </c>
    </row>
    <row r="38" spans="1:7" hidden="1">
      <c r="A38" s="102" t="str">
        <f>CONCATENATE(A33," (",TEXT(B33/SUM(B$32:B$35),"0.0%"),")")</f>
        <v>Half Fees (0.7%)</v>
      </c>
      <c r="B38" s="100" t="str">
        <f>CONCATENATE(TEXT(B33,"#,###")," students receiving ",D33," in fees at an average of ",TEXT(F33,"£#,###")," per student")</f>
        <v>1,025 students receiving £0.9 million in fees at an average of £910 per student</v>
      </c>
    </row>
    <row r="39" spans="1:7" hidden="1">
      <c r="A39" s="102" t="str">
        <f>CONCATENATE(A34," (",TEXT(B34/SUM(B$32:B$35),"0.0%"),")")</f>
        <v>Other Fees (0.6%)</v>
      </c>
      <c r="B39" s="100" t="str">
        <f>CONCATENATE(TEXT(B34,"#,###")," students receiving ",D34," in fees at an average of ",TEXT(F34,"£#,###")," per student")</f>
        <v>900 students receiving £2.6 million in fees at an average of £2,940 per student</v>
      </c>
    </row>
    <row r="40" spans="1:7" hidden="1">
      <c r="A40" s="102" t="str">
        <f>CONCATENATE(A35," (",TEXT(B35/SUM(B$32:B$35),"0.0%"),")")</f>
        <v>Fee Loans (6.2%)</v>
      </c>
      <c r="B40" s="100" t="str">
        <f>CONCATENATE(TEXT(B35,"#,###")," students receiving ",D35," in fee loans at an average of ",TEXT(F35,"£#,###")," per student")</f>
        <v>8,700 students receiving £0.0 million in fee loans at an average of £6,270 per student</v>
      </c>
    </row>
    <row r="41" spans="1:7" hidden="1"/>
    <row r="42" spans="1:7" hidden="1">
      <c r="A42" s="102" t="str">
        <f>A32</f>
        <v>Full Fees</v>
      </c>
      <c r="B42" s="100" t="s">
        <v>136</v>
      </c>
    </row>
    <row r="43" spans="1:7" hidden="1">
      <c r="A43" s="102" t="str">
        <f>A33</f>
        <v>Half Fees</v>
      </c>
      <c r="B43" s="100" t="s">
        <v>137</v>
      </c>
    </row>
    <row r="44" spans="1:7" hidden="1">
      <c r="A44" s="102" t="str">
        <f>A34</f>
        <v>Other Fees</v>
      </c>
      <c r="B44" s="100" t="s">
        <v>258</v>
      </c>
    </row>
    <row r="45" spans="1:7" hidden="1">
      <c r="A45" s="102" t="str">
        <f>A35</f>
        <v>Fee Loans</v>
      </c>
      <c r="B45" s="100" t="s">
        <v>138</v>
      </c>
    </row>
  </sheetData>
  <hyperlinks>
    <hyperlink ref="K1" location="Contents!A1" display="&gt;&gt; Contents"/>
  </hyperlinks>
  <pageMargins left="0.39370078740157483" right="0.39370078740157483" top="0.39370078740157483" bottom="0.39370078740157483" header="0" footer="0"/>
  <pageSetup paperSize="9" scale="60" fitToHeight="0" orientation="portrait" r:id="rId1"/>
  <headerFooter>
    <oddFooter>&amp;C&amp;"Calibri,Regular"&amp;KFF0000RESTRICTED STATISTICS Not for release until 25 October 2016</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rgb="FF002060"/>
    <pageSetUpPr fitToPage="1"/>
  </sheetPr>
  <dimension ref="A1:K58"/>
  <sheetViews>
    <sheetView showGridLines="0" zoomScaleNormal="100" workbookViewId="0"/>
  </sheetViews>
  <sheetFormatPr defaultColWidth="10.7109375" defaultRowHeight="15.75"/>
  <cols>
    <col min="1" max="1" width="21.42578125" style="1" customWidth="1"/>
    <col min="2" max="16384" width="10.7109375" style="1"/>
  </cols>
  <sheetData>
    <row r="1" spans="1:11" ht="23.25">
      <c r="A1" s="138" t="str">
        <f>Contents!A1</f>
        <v>Higher Education Student Support in Scotland 2017-18</v>
      </c>
      <c r="B1" s="139"/>
      <c r="C1" s="139"/>
      <c r="D1" s="139"/>
      <c r="E1" s="139"/>
      <c r="F1" s="139"/>
      <c r="G1" s="139"/>
      <c r="H1" s="139"/>
      <c r="I1" s="139"/>
      <c r="J1" s="139"/>
      <c r="K1" s="140" t="s">
        <v>70</v>
      </c>
    </row>
    <row r="2" spans="1:11" ht="18.75">
      <c r="A2" s="60" t="str">
        <f ca="1">CONCATENATE(REPLACE(CELL("Filename",A2),1,FIND("]",CELL("filename",A2)),""),": Full-time students authorised for loans by level of support")</f>
        <v>Figure 3.10: Full-time students authorised for loans by level of support</v>
      </c>
      <c r="B2" s="33"/>
      <c r="C2" s="33"/>
      <c r="D2" s="33"/>
      <c r="E2" s="33"/>
      <c r="F2" s="33"/>
      <c r="G2" s="33"/>
      <c r="H2" s="33"/>
      <c r="I2" s="33"/>
      <c r="J2" s="33"/>
      <c r="K2" s="59"/>
    </row>
    <row r="3" spans="1:11">
      <c r="A3" s="172"/>
    </row>
    <row r="4" spans="1:11">
      <c r="A4" s="172"/>
    </row>
    <row r="5" spans="1:11">
      <c r="A5" s="172"/>
    </row>
    <row r="6" spans="1:11">
      <c r="A6" s="172"/>
    </row>
    <row r="7" spans="1:11">
      <c r="A7" s="172"/>
    </row>
    <row r="8" spans="1:11">
      <c r="A8" s="172"/>
    </row>
    <row r="9" spans="1:11">
      <c r="A9" s="172"/>
    </row>
    <row r="10" spans="1:11">
      <c r="A10" s="172"/>
    </row>
    <row r="11" spans="1:11">
      <c r="A11" s="172"/>
    </row>
    <row r="12" spans="1:11">
      <c r="A12" s="172"/>
    </row>
    <row r="13" spans="1:11">
      <c r="A13" s="172"/>
    </row>
    <row r="14" spans="1:11">
      <c r="A14" s="2" t="s">
        <v>74</v>
      </c>
    </row>
    <row r="15" spans="1:11">
      <c r="A15" s="52"/>
      <c r="B15" s="52"/>
    </row>
    <row r="16" spans="1:11">
      <c r="A16" s="56" t="str">
        <f ca="1">'Table A11'!A2</f>
        <v>Table A11: Full-time students receiving living cost loan support</v>
      </c>
    </row>
    <row r="17" spans="1:5">
      <c r="A17" s="61" t="str">
        <f ca="1">HYPERLINK(CONCATENATE("#'",LEFT(A16,SEARCH(":",A16)-1),"'!A3"),"&gt;&gt;")</f>
        <v>&gt;&gt;</v>
      </c>
    </row>
    <row r="18" spans="1:5" hidden="1"/>
    <row r="19" spans="1:5" ht="63" hidden="1">
      <c r="A19" s="212"/>
      <c r="B19" s="218" t="str">
        <f>'Table A11'!A6</f>
        <v>Number of students</v>
      </c>
      <c r="C19" s="218" t="str">
        <f>'Table A11'!A7</f>
        <v>Amount (£ million)</v>
      </c>
      <c r="D19" s="218" t="str">
        <f>'Table A11'!A8</f>
        <v>Average per student (£)</v>
      </c>
      <c r="E19" s="212"/>
    </row>
    <row r="20" spans="1:5" s="5" customFormat="1" hidden="1">
      <c r="A20" s="221" t="str">
        <f>'Table A11'!A10</f>
        <v>Non-Income Assessed Loan</v>
      </c>
      <c r="B20" s="216">
        <f>'Table A11'!M11</f>
        <v>50860</v>
      </c>
      <c r="C20" s="219">
        <f>'Table A11'!M12</f>
        <v>234.990476</v>
      </c>
      <c r="D20" s="216">
        <f>'Table A11'!M13</f>
        <v>4620</v>
      </c>
      <c r="E20" s="221" t="str">
        <f>CONCATENATE(A20,CHAR(10),TEXT(B20,"#,###")," (",TEXT(B20/SUM(B20:B21),"0.0%"),")",CHAR(10),TEXT(C20,"£#,###.0"),"M",CHAR(10),"@ ",TEXT(D20,"£#,###"))</f>
        <v>Non-Income Assessed Loan
50,860 (53.0%)
£235.0M
@ £4,620</v>
      </c>
    </row>
    <row r="21" spans="1:5" s="5" customFormat="1" hidden="1">
      <c r="A21" s="222" t="str">
        <f>'Table A11'!A15</f>
        <v>Income Assessed Loan</v>
      </c>
      <c r="B21" s="214">
        <f>'Table A11'!M16</f>
        <v>45145</v>
      </c>
      <c r="C21" s="220">
        <f>'Table A11'!M17</f>
        <v>275.86540500000001</v>
      </c>
      <c r="D21" s="214">
        <f>'Table A11'!M18</f>
        <v>6110</v>
      </c>
      <c r="E21" s="222" t="str">
        <f>CONCATENATE(A21,CHAR(10),TEXT(B21,"#,###")," (",TEXT(B21/SUM(B19:B21),"0.0%"),")",CHAR(10),TEXT(C21,"£#,###.0"),"M",CHAR(10),"@ ",TEXT(D21,"£#,###"))</f>
        <v>Income Assessed Loan
45,145 (47.0%)
£275.9M
@ £6,110</v>
      </c>
    </row>
    <row r="22" spans="1:5" s="5" customFormat="1" hidden="1">
      <c r="A22" s="222" t="str">
        <f>'Table A11'!A24</f>
        <v>Postgraduate Loan</v>
      </c>
      <c r="B22" s="214">
        <f>'Table A11'!M25</f>
        <v>3890</v>
      </c>
      <c r="C22" s="220">
        <f>'Table A11'!M26</f>
        <v>17.500499999999999</v>
      </c>
      <c r="D22" s="214">
        <f>'Table A11'!M27</f>
        <v>4500</v>
      </c>
      <c r="E22" s="222" t="str">
        <f>CONCATENATE(A22,CHAR(10),TEXT(B22,"#,###")," (",TEXT(B22/SUM(B20:B22),"0.0%"),")",CHAR(10),TEXT(C22,"£#,###.0"),"M",CHAR(10),"@ ",TEXT(D22,"£#,###"))</f>
        <v>Postgraduate Loan
3,890 (3.9%)
£17.5M
@ £4,500</v>
      </c>
    </row>
    <row r="23" spans="1:5" hidden="1">
      <c r="A23" s="172"/>
    </row>
    <row r="24" spans="1:5" hidden="1">
      <c r="A24" s="172"/>
    </row>
    <row r="25" spans="1:5" hidden="1">
      <c r="A25" s="172"/>
    </row>
    <row r="26" spans="1:5" hidden="1">
      <c r="A26" s="172"/>
    </row>
    <row r="27" spans="1:5" hidden="1"/>
    <row r="28" spans="1:5" hidden="1"/>
    <row r="29" spans="1:5" hidden="1"/>
    <row r="30" spans="1:5" hidden="1"/>
    <row r="31" spans="1:5" hidden="1"/>
    <row r="32" spans="1:5" hidden="1"/>
    <row r="33" hidden="1"/>
    <row r="34" hidden="1"/>
    <row r="35" hidden="1"/>
    <row r="36" hidden="1"/>
    <row r="37" hidden="1"/>
    <row r="38" hidden="1"/>
    <row r="39" hidden="1"/>
    <row r="40" hidden="1"/>
    <row r="41" hidden="1"/>
    <row r="42" hidden="1"/>
    <row r="43" hidden="1"/>
    <row r="44" hidden="1"/>
    <row r="45" hidden="1"/>
    <row r="46" hidden="1"/>
    <row r="47" hidden="1"/>
    <row r="48" hidden="1"/>
    <row r="49" spans="1:11" hidden="1"/>
    <row r="50" spans="1:11" hidden="1">
      <c r="A50" s="2" t="s">
        <v>74</v>
      </c>
    </row>
    <row r="51" spans="1:11" s="52" customFormat="1" hidden="1"/>
    <row r="52" spans="1:11" hidden="1">
      <c r="A52" s="56" t="str">
        <f ca="1">'Table A11'!A2</f>
        <v>Table A11: Full-time students receiving living cost loan support</v>
      </c>
    </row>
    <row r="53" spans="1:11" hidden="1">
      <c r="A53" s="61" t="str">
        <f ca="1">HYPERLINK(CONCATENATE("#'",LEFT(A52,SEARCH(":",A52)-1),"'!A3"),"&gt;&gt;")</f>
        <v>&gt;&gt;</v>
      </c>
    </row>
    <row r="54" spans="1:11" hidden="1"/>
    <row r="55" spans="1:11" hidden="1">
      <c r="A55" s="269" t="s">
        <v>234</v>
      </c>
      <c r="B55" s="270">
        <f t="shared" ref="B55:I55" ca="1" si="0">C55-1</f>
        <v>-9</v>
      </c>
      <c r="C55" s="270">
        <f t="shared" ca="1" si="0"/>
        <v>-8</v>
      </c>
      <c r="D55" s="270">
        <f t="shared" ca="1" si="0"/>
        <v>-7</v>
      </c>
      <c r="E55" s="270">
        <f t="shared" ca="1" si="0"/>
        <v>-6</v>
      </c>
      <c r="F55" s="270">
        <f t="shared" ca="1" si="0"/>
        <v>-5</v>
      </c>
      <c r="G55" s="270">
        <f t="shared" ca="1" si="0"/>
        <v>-4</v>
      </c>
      <c r="H55" s="270">
        <f t="shared" ca="1" si="0"/>
        <v>-3</v>
      </c>
      <c r="I55" s="270">
        <f t="shared" ca="1" si="0"/>
        <v>-2</v>
      </c>
      <c r="J55" s="270">
        <f ca="1">K55-1</f>
        <v>-1</v>
      </c>
      <c r="K55" s="270">
        <f ca="1">OFFSET('Table A11'!$M3,0,-1)</f>
        <v>0</v>
      </c>
    </row>
    <row r="56" spans="1:11" hidden="1">
      <c r="A56" s="267">
        <f>MROUND(MAX('Table A11'!$B6:$L6,'Table A11'!$B15:$I15,'Table A11'!$B20:$I20,'Table A11'!$B25:$I25),10000)</f>
        <v>100000</v>
      </c>
      <c r="B56" s="268" t="str">
        <f ca="1">OFFSET('Table A11'!$M4,0,B55)</f>
        <v>2008-09</v>
      </c>
      <c r="C56" s="268" t="str">
        <f ca="1">OFFSET('Table A11'!$M4,0,C55)</f>
        <v>2009-10</v>
      </c>
      <c r="D56" s="268" t="str">
        <f ca="1">OFFSET('Table A11'!$M4,0,D55)</f>
        <v>2010-11</v>
      </c>
      <c r="E56" s="268" t="str">
        <f ca="1">OFFSET('Table A11'!$M4,0,E55)</f>
        <v>2011-12</v>
      </c>
      <c r="F56" s="268" t="str">
        <f ca="1">OFFSET('Table A11'!$M4,0,F55)</f>
        <v>2012-13</v>
      </c>
      <c r="G56" s="268" t="str">
        <f ca="1">OFFSET('Table A11'!$M4,0,G55)</f>
        <v>2013-14</v>
      </c>
      <c r="H56" s="268" t="str">
        <f ca="1">OFFSET('Table A11'!$M4,0,H55)</f>
        <v>2014-15</v>
      </c>
      <c r="I56" s="268" t="str">
        <f ca="1">OFFSET('Table A11'!$M4,0,I55)</f>
        <v>2015-16</v>
      </c>
      <c r="J56" s="268" t="str">
        <f ca="1">OFFSET('Table A11'!$M4,0,J55)</f>
        <v>2016-17</v>
      </c>
      <c r="K56" s="268" t="str">
        <f ca="1">OFFSET('Table A11'!$M4,0,K55)</f>
        <v>2017-18</v>
      </c>
    </row>
    <row r="57" spans="1:11" ht="63" hidden="1">
      <c r="A57" s="215" t="s">
        <v>139</v>
      </c>
      <c r="B57" s="216" t="e">
        <f ca="1">IF(B56&lt;&gt;"2010-11",NA(),MROUND(MAX('Table A11'!$B6:$L6,'Table A11'!$B15:$I15,'Table A11'!$B20:$I20,'Table A11'!$B25:$I25),10000))</f>
        <v>#N/A</v>
      </c>
      <c r="C57" s="216" t="e">
        <f ca="1">IF(C56&lt;&gt;"2010-11",NA(),MROUND(MAX('Table A11'!$B6:$L6,'Table A11'!$B15:$I15,'Table A11'!$B20:$I20,'Table A11'!$B25:$I25),10000))</f>
        <v>#N/A</v>
      </c>
      <c r="D57" s="216">
        <f ca="1">IF(D56&lt;&gt;"2010-11",NA(),MROUND(MAX('Table A11'!$B6:$L6,'Table A11'!$B15:$I15,'Table A11'!$B20:$I20,'Table A11'!$B25:$I25),10000))</f>
        <v>100000</v>
      </c>
      <c r="E57" s="216" t="e">
        <f ca="1">IF(E56&lt;&gt;"2010-11",NA(),MROUND(MAX('Table A11'!$B6:$L6,'Table A11'!$B15:$I15,'Table A11'!$B20:$I20,'Table A11'!$B25:$I25),10000))</f>
        <v>#N/A</v>
      </c>
      <c r="F57" s="216" t="e">
        <f ca="1">IF(F56&lt;&gt;"2010-11",NA(),MROUND(MAX('Table A11'!$B6:$L6,'Table A11'!$B15:$I15,'Table A11'!$B20:$I20,'Table A11'!$B25:$I25),10000))</f>
        <v>#N/A</v>
      </c>
      <c r="G57" s="216" t="e">
        <f ca="1">IF(G56&lt;&gt;"2010-11",NA(),MROUND(MAX('Table A11'!$B6:$L6,'Table A11'!$B15:$I15,'Table A11'!$B20:$I20,'Table A11'!$B25:$I25),10000))</f>
        <v>#N/A</v>
      </c>
      <c r="H57" s="216" t="e">
        <f ca="1">IF(H56&lt;&gt;"2010-11",NA(),MROUND(MAX('Table A11'!$B6:$L6,'Table A11'!$B15:$I15,'Table A11'!$B20:$I20,'Table A11'!$B25:$I25),10000))</f>
        <v>#N/A</v>
      </c>
      <c r="I57" s="216" t="e">
        <f ca="1">IF(I56&lt;&gt;"2010-11",NA(),MROUND(MAX('Table A11'!$B6:$L6,'Table A11'!$B15:$I15,'Table A11'!$B20:$I20,'Table A11'!$B25:$I25),10000))</f>
        <v>#N/A</v>
      </c>
      <c r="J57" s="216" t="e">
        <f ca="1">IF(J56&lt;&gt;"2010-11",NA(),MROUND(MAX('Table A11'!$B6:$L6,'Table A11'!$B15:$I15,'Table A11'!$B20:$I20,'Table A11'!$B25:$I25),10000))</f>
        <v>#N/A</v>
      </c>
      <c r="K57" s="216" t="e">
        <f ca="1">IF(K56&lt;&gt;"2010-11",NA(),MROUND(MAX('Table A11'!$B6:$M6,'Table A11'!$B15:$I15,'Table A11'!$B20:$I20,'Table A11'!$B25:$I25),10000))</f>
        <v>#N/A</v>
      </c>
    </row>
    <row r="58" spans="1:11" ht="63" hidden="1">
      <c r="A58" s="213" t="s">
        <v>191</v>
      </c>
      <c r="B58" s="214" t="e">
        <f ca="1">IF(B56&lt;&gt;"2013-14",NA(),MROUND(MAX('Table A11'!$B6:$L6,'Table A11'!$B15:$I15,'Table A11'!$B20:$I20,'Table A11'!$B25:$I25),10000))</f>
        <v>#N/A</v>
      </c>
      <c r="C58" s="214" t="e">
        <f ca="1">IF(C56&lt;&gt;"2013-14",NA(),MROUND(MAX('Table A11'!$B6:$L6,'Table A11'!$B15:$I15,'Table A11'!$B20:$I20,'Table A11'!$B25:$I25),10000))</f>
        <v>#N/A</v>
      </c>
      <c r="D58" s="214" t="e">
        <f ca="1">IF(D56&lt;&gt;"2013-14",NA(),MROUND(MAX('Table A11'!$B6:$L6,'Table A11'!$B15:$I15,'Table A11'!$B20:$I20,'Table A11'!$B25:$I25),10000))</f>
        <v>#N/A</v>
      </c>
      <c r="E58" s="214" t="e">
        <f ca="1">IF(E56&lt;&gt;"2013-14",NA(),MROUND(MAX('Table A11'!$B6:$L6,'Table A11'!$B15:$I15,'Table A11'!$B20:$I20,'Table A11'!$B25:$I25),10000))</f>
        <v>#N/A</v>
      </c>
      <c r="F58" s="214" t="e">
        <f ca="1">IF(F56&lt;&gt;"2013-14",NA(),MROUND(MAX('Table A11'!$B6:$L6,'Table A11'!$B15:$I15,'Table A11'!$B20:$I20,'Table A11'!$B25:$I25),10000))</f>
        <v>#N/A</v>
      </c>
      <c r="G58" s="214">
        <f ca="1">IF(G56&lt;&gt;"2013-14",NA(),MROUND(MAX('Table A11'!$B6:$L6,'Table A11'!$B15:$I15,'Table A11'!$B20:$I20,'Table A11'!$B25:$I25),10000))</f>
        <v>100000</v>
      </c>
      <c r="H58" s="214" t="e">
        <f ca="1">IF(H56&lt;&gt;"2013-14",NA(),MROUND(MAX('Table A11'!$B6:$L6,'Table A11'!$B15:$I15,'Table A11'!$B20:$I20,'Table A11'!$B25:$I25),10000))</f>
        <v>#N/A</v>
      </c>
      <c r="I58" s="214" t="e">
        <f ca="1">IF(I56&lt;&gt;"2013-14",NA(),MROUND(MAX('Table A11'!$B6:$L6,'Table A11'!$B15:$I15,'Table A11'!$B20:$I20,'Table A11'!$B25:$I25),10000))</f>
        <v>#N/A</v>
      </c>
      <c r="J58" s="214" t="e">
        <f ca="1">IF(J56&lt;&gt;"2013-14",NA(),MROUND(MAX('Table A11'!$B6:$L6,'Table A11'!$B15:$I15,'Table A11'!$B20:$I20,'Table A11'!$B25:$I25),10000))</f>
        <v>#N/A</v>
      </c>
      <c r="K58" s="214" t="e">
        <f ca="1">IF(K56&lt;&gt;"2013-14",NA(),MROUND(MAX('Table A11'!$B6:$L6,'Table A11'!$B15:$I15,'Table A11'!$B20:$I20,'Table A11'!$B25:$I25),10000))</f>
        <v>#N/A</v>
      </c>
    </row>
  </sheetData>
  <hyperlinks>
    <hyperlink ref="K1" location="Contents!A1" display="&gt;&gt; Contents"/>
  </hyperlinks>
  <pageMargins left="0.39370078740157483" right="0.39370078740157483" top="0.39370078740157483" bottom="0.39370078740157483" header="0" footer="0"/>
  <pageSetup paperSize="9" scale="75" fitToHeight="0" orientation="portrait" r:id="rId1"/>
  <headerFooter>
    <oddFooter>&amp;C&amp;"Calibri,Regular"&amp;KFF0000RESTRICTED STATISTICS Not for release until 25 October 2016</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002060"/>
    <pageSetUpPr fitToPage="1"/>
  </sheetPr>
  <dimension ref="A1:L44"/>
  <sheetViews>
    <sheetView showGridLines="0" workbookViewId="0"/>
  </sheetViews>
  <sheetFormatPr defaultColWidth="10.7109375" defaultRowHeight="15.75"/>
  <cols>
    <col min="1" max="1" width="21.42578125" style="1" customWidth="1"/>
    <col min="2" max="2" width="0" style="1" hidden="1" customWidth="1"/>
    <col min="3" max="16384" width="10.7109375" style="1"/>
  </cols>
  <sheetData>
    <row r="1" spans="1:12" ht="23.25">
      <c r="A1" s="138" t="str">
        <f>Contents!A1</f>
        <v>Higher Education Student Support in Scotland 2017-18</v>
      </c>
      <c r="B1" s="139"/>
      <c r="C1" s="139"/>
      <c r="D1" s="139"/>
      <c r="E1" s="139"/>
      <c r="F1" s="139"/>
      <c r="G1" s="139"/>
      <c r="H1" s="139"/>
      <c r="I1" s="139"/>
      <c r="J1" s="139"/>
      <c r="K1" s="139"/>
      <c r="L1" s="140" t="s">
        <v>70</v>
      </c>
    </row>
    <row r="2" spans="1:12" ht="18.75">
      <c r="A2" s="60" t="str">
        <f ca="1">CONCATENATE(REPLACE(CELL("Filename",A2),1,FIND("]",CELL("filename",A2)),""),": Full-time students receiving DSA support by disability type")</f>
        <v>Figure 3.11: Full-time students receiving DSA support by disability type</v>
      </c>
      <c r="B2" s="33"/>
      <c r="C2" s="33"/>
      <c r="D2" s="33"/>
      <c r="E2" s="33"/>
      <c r="F2" s="33"/>
      <c r="G2" s="33"/>
      <c r="H2" s="33"/>
      <c r="I2" s="33"/>
      <c r="J2" s="33"/>
      <c r="K2" s="33"/>
      <c r="L2" s="59"/>
    </row>
    <row r="3" spans="1:12">
      <c r="A3" s="172"/>
    </row>
    <row r="26" spans="1:12" hidden="1"/>
    <row r="27" spans="1:12" hidden="1">
      <c r="A27" s="2" t="s">
        <v>74</v>
      </c>
    </row>
    <row r="28" spans="1:12" hidden="1"/>
    <row r="29" spans="1:12" hidden="1">
      <c r="A29" s="30"/>
      <c r="B29" s="32" t="str">
        <f>'Table A8'!B4</f>
        <v>2004-05</v>
      </c>
      <c r="C29" s="32" t="s">
        <v>27</v>
      </c>
      <c r="D29" s="32" t="s">
        <v>28</v>
      </c>
      <c r="E29" s="32" t="s">
        <v>15</v>
      </c>
      <c r="F29" s="32" t="s">
        <v>59</v>
      </c>
      <c r="G29" s="32" t="s">
        <v>1</v>
      </c>
      <c r="H29" s="32" t="s">
        <v>61</v>
      </c>
      <c r="I29" s="32" t="s">
        <v>169</v>
      </c>
      <c r="J29" s="32" t="s">
        <v>233</v>
      </c>
      <c r="K29" s="32" t="str">
        <f>'Table A12'!J4</f>
        <v>2016-17</v>
      </c>
      <c r="L29" s="32" t="str">
        <f>'Table A12'!L4</f>
        <v>2017-18</v>
      </c>
    </row>
    <row r="30" spans="1:12" hidden="1">
      <c r="A30" s="14" t="str">
        <f>'Table A12'!B5</f>
        <v>Number of Students</v>
      </c>
      <c r="B30" s="15"/>
      <c r="C30" s="15"/>
      <c r="D30" s="15"/>
      <c r="E30" s="15"/>
      <c r="F30" s="15"/>
      <c r="G30" s="15"/>
      <c r="H30" s="15"/>
      <c r="I30" s="15"/>
      <c r="J30" s="43"/>
      <c r="K30" s="43"/>
      <c r="L30" s="43"/>
    </row>
    <row r="31" spans="1:12" hidden="1">
      <c r="A31" s="6" t="s">
        <v>144</v>
      </c>
      <c r="B31" s="15">
        <v>2775</v>
      </c>
      <c r="C31" s="15">
        <v>4065</v>
      </c>
      <c r="D31" s="15">
        <v>4275</v>
      </c>
      <c r="E31" s="15">
        <v>4435</v>
      </c>
      <c r="F31" s="15">
        <v>4495</v>
      </c>
      <c r="G31" s="15">
        <v>4045</v>
      </c>
      <c r="H31" s="15">
        <v>4265</v>
      </c>
      <c r="I31" s="15">
        <v>4270</v>
      </c>
      <c r="J31" s="43">
        <v>4355</v>
      </c>
      <c r="K31" s="43">
        <f>'Table A12'!J7</f>
        <v>4415</v>
      </c>
      <c r="L31" s="43">
        <f>'Table A12'!L7</f>
        <v>4655</v>
      </c>
    </row>
    <row r="32" spans="1:12" hidden="1">
      <c r="A32" s="42" t="s">
        <v>145</v>
      </c>
      <c r="B32" s="106">
        <v>1825</v>
      </c>
      <c r="C32" s="106">
        <v>2450</v>
      </c>
      <c r="D32" s="106">
        <v>2620</v>
      </c>
      <c r="E32" s="106">
        <v>2560</v>
      </c>
      <c r="F32" s="106">
        <v>2755</v>
      </c>
      <c r="G32" s="106">
        <v>2380</v>
      </c>
      <c r="H32" s="106">
        <v>2625</v>
      </c>
      <c r="I32" s="106">
        <v>2610</v>
      </c>
      <c r="J32" s="106">
        <v>2460</v>
      </c>
      <c r="K32" s="106">
        <f>'Table A12'!J11</f>
        <v>2460</v>
      </c>
      <c r="L32" s="106">
        <f>'Table A12'!L11</f>
        <v>2370</v>
      </c>
    </row>
    <row r="33" spans="1:12" hidden="1">
      <c r="A33" s="16" t="s">
        <v>146</v>
      </c>
      <c r="B33" s="38">
        <v>950</v>
      </c>
      <c r="C33" s="38">
        <v>1620</v>
      </c>
      <c r="D33" s="38">
        <v>1660</v>
      </c>
      <c r="E33" s="38">
        <v>1880</v>
      </c>
      <c r="F33" s="38">
        <v>1735</v>
      </c>
      <c r="G33" s="38">
        <v>1665</v>
      </c>
      <c r="H33" s="38">
        <v>1640</v>
      </c>
      <c r="I33" s="38">
        <v>1660</v>
      </c>
      <c r="J33" s="38">
        <v>1895</v>
      </c>
      <c r="K33" s="38">
        <f>K31-K32</f>
        <v>1955</v>
      </c>
      <c r="L33" s="38">
        <f>L31-L32</f>
        <v>2285</v>
      </c>
    </row>
    <row r="34" spans="1:12" hidden="1">
      <c r="B34" s="136"/>
      <c r="C34" s="136"/>
      <c r="D34" s="136"/>
      <c r="E34" s="136"/>
      <c r="F34" s="136"/>
      <c r="G34" s="136"/>
      <c r="H34" s="136"/>
      <c r="I34" s="107"/>
      <c r="J34" s="107"/>
      <c r="K34" s="107"/>
      <c r="L34" s="107"/>
    </row>
    <row r="35" spans="1:12" hidden="1">
      <c r="A35" s="2" t="s">
        <v>147</v>
      </c>
      <c r="J35" s="9"/>
      <c r="K35" s="9"/>
      <c r="L35" s="9"/>
    </row>
    <row r="36" spans="1:12" hidden="1">
      <c r="A36" s="7" t="str">
        <f>A31</f>
        <v>All DSA recipients</v>
      </c>
      <c r="B36" s="117">
        <v>6.512467</v>
      </c>
      <c r="C36" s="117">
        <v>7.5524179999999994</v>
      </c>
      <c r="D36" s="117">
        <v>8.0592439999999996</v>
      </c>
      <c r="E36" s="117">
        <v>8.8160740000000004</v>
      </c>
      <c r="F36" s="117">
        <v>8.8721769999999989</v>
      </c>
      <c r="G36" s="117">
        <v>8.4375900000000001</v>
      </c>
      <c r="H36" s="117">
        <v>9.0221870000000006</v>
      </c>
      <c r="I36" s="117">
        <v>7.2370000000000001</v>
      </c>
      <c r="J36" s="117">
        <v>7.7320000000000002</v>
      </c>
      <c r="K36" s="117">
        <f>'Table A12'!K7</f>
        <v>7.8541530000000002</v>
      </c>
      <c r="L36" s="117">
        <f>'Table A12'!M7</f>
        <v>8.5539799999999993</v>
      </c>
    </row>
    <row r="37" spans="1:12" hidden="1">
      <c r="A37" s="7" t="str">
        <f>A32</f>
        <v>Disability: Dyslexia</v>
      </c>
      <c r="B37" s="117">
        <v>3.7268029999999999</v>
      </c>
      <c r="C37" s="117">
        <v>3.8714309999999998</v>
      </c>
      <c r="D37" s="117">
        <v>4.3732259999999998</v>
      </c>
      <c r="E37" s="117">
        <v>4.4850379999999994</v>
      </c>
      <c r="F37" s="117">
        <v>4.4667889999999995</v>
      </c>
      <c r="G37" s="117">
        <v>3.8035880000000004</v>
      </c>
      <c r="H37" s="117">
        <v>3.9620739999999999</v>
      </c>
      <c r="I37" s="117">
        <v>3.2229999999999999</v>
      </c>
      <c r="J37" s="117">
        <v>3.07</v>
      </c>
      <c r="K37" s="117">
        <f>'Table A12'!K11</f>
        <v>3.2304469999999998</v>
      </c>
      <c r="L37" s="117">
        <f>'Table A12'!M11</f>
        <v>3.2583579999999999</v>
      </c>
    </row>
    <row r="38" spans="1:12" hidden="1">
      <c r="A38" s="24" t="str">
        <f>A33</f>
        <v>Disability: Any other</v>
      </c>
      <c r="B38" s="118">
        <v>2.7856649999999998</v>
      </c>
      <c r="C38" s="118">
        <v>3.6809880000000001</v>
      </c>
      <c r="D38" s="118">
        <v>3.6860199999999996</v>
      </c>
      <c r="E38" s="118">
        <v>4.3310360000000001</v>
      </c>
      <c r="F38" s="118">
        <v>4.4053880000000003</v>
      </c>
      <c r="G38" s="118">
        <v>4.6340019999999997</v>
      </c>
      <c r="H38" s="118">
        <v>5.0601140000000004</v>
      </c>
      <c r="I38" s="118">
        <v>4.0140000000000002</v>
      </c>
      <c r="J38" s="118">
        <v>4.6620000000000008</v>
      </c>
      <c r="K38" s="118">
        <f>K36-K37</f>
        <v>4.6237060000000003</v>
      </c>
      <c r="L38" s="118">
        <f>L36-L37</f>
        <v>5.2956219999999998</v>
      </c>
    </row>
    <row r="39" spans="1:12" hidden="1">
      <c r="B39" s="136"/>
      <c r="C39" s="136"/>
      <c r="D39" s="136"/>
      <c r="E39" s="136"/>
      <c r="F39" s="136"/>
      <c r="G39" s="136"/>
      <c r="H39" s="136"/>
      <c r="I39" s="136"/>
    </row>
    <row r="40" spans="1:12" hidden="1"/>
    <row r="41" spans="1:12">
      <c r="A41" s="2" t="s">
        <v>84</v>
      </c>
    </row>
    <row r="43" spans="1:12">
      <c r="A43" s="56" t="str">
        <f ca="1">'Table A12'!A2</f>
        <v>Table A12: Full-time students receving DSA support by disability type</v>
      </c>
    </row>
    <row r="44" spans="1:12">
      <c r="A44" s="61" t="str">
        <f ca="1">HYPERLINK(CONCATENATE("#'",LEFT(A43,SEARCH(":",A43)-1),"'!A3"),"&gt;&gt;")</f>
        <v>&gt;&gt;</v>
      </c>
    </row>
  </sheetData>
  <hyperlinks>
    <hyperlink ref="L1" location="Contents!A1" display="&gt;&gt; Contents"/>
  </hyperlinks>
  <pageMargins left="0.39370078740157483" right="0.39370078740157483" top="0.39370078740157483" bottom="0.39370078740157483" header="0" footer="0"/>
  <pageSetup paperSize="9" scale="75" fitToHeight="0" orientation="portrait" r:id="rId1"/>
  <headerFooter>
    <oddFooter>&amp;C&amp;"Calibri,Regular"&amp;KFF0000RESTRICTED STATISTICS Not for release until 25 October 2016</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L57"/>
  <sheetViews>
    <sheetView showGridLines="0" workbookViewId="0"/>
  </sheetViews>
  <sheetFormatPr defaultColWidth="10.7109375" defaultRowHeight="15.75"/>
  <cols>
    <col min="1" max="1" width="21.42578125" style="1" customWidth="1"/>
    <col min="2" max="2" width="10.7109375" style="1" customWidth="1"/>
    <col min="3" max="16384" width="10.7109375" style="1"/>
  </cols>
  <sheetData>
    <row r="1" spans="1:12" ht="23.25">
      <c r="A1" s="138" t="str">
        <f>Contents!A1</f>
        <v>Higher Education Student Support in Scotland 2017-18</v>
      </c>
      <c r="B1" s="139"/>
      <c r="C1" s="139"/>
      <c r="D1" s="139"/>
      <c r="E1" s="139"/>
      <c r="F1" s="139"/>
      <c r="G1" s="139"/>
      <c r="H1" s="139"/>
      <c r="I1" s="139"/>
      <c r="J1" s="139"/>
      <c r="K1" s="139"/>
      <c r="L1" s="140" t="s">
        <v>70</v>
      </c>
    </row>
    <row r="2" spans="1:12" ht="18.75">
      <c r="A2" s="60" t="str">
        <f ca="1">CONCATENATE(REPLACE(CELL("Filename",A2),1,FIND("]",CELL("filename",A2)),""),": Full-time students by support type and SIMD quintile")</f>
        <v>Figure 3.12: Full-time students by support type and SIMD quintile</v>
      </c>
      <c r="B2" s="33"/>
      <c r="C2" s="33"/>
      <c r="D2" s="33"/>
      <c r="E2" s="33"/>
      <c r="F2" s="33"/>
      <c r="G2" s="33"/>
      <c r="H2" s="33"/>
      <c r="I2" s="33"/>
      <c r="J2" s="33"/>
      <c r="K2" s="33"/>
      <c r="L2" s="59"/>
    </row>
    <row r="3" spans="1:12">
      <c r="A3" s="172"/>
    </row>
    <row r="27" spans="1:11" hidden="1">
      <c r="A27" s="2" t="s">
        <v>74</v>
      </c>
    </row>
    <row r="28" spans="1:11" hidden="1"/>
    <row r="29" spans="1:11" hidden="1">
      <c r="A29" s="30"/>
      <c r="B29" s="32">
        <v>1</v>
      </c>
      <c r="C29" s="32">
        <v>2</v>
      </c>
      <c r="D29" s="32">
        <v>3</v>
      </c>
      <c r="E29" s="32">
        <v>4</v>
      </c>
      <c r="F29" s="32">
        <v>5</v>
      </c>
    </row>
    <row r="30" spans="1:11" hidden="1">
      <c r="A30" s="14" t="str">
        <f>'Table A12'!B5</f>
        <v>Number of Students</v>
      </c>
      <c r="B30" s="15"/>
      <c r="C30" s="15"/>
      <c r="D30" s="15"/>
      <c r="E30" s="15"/>
      <c r="F30" s="15"/>
    </row>
    <row r="31" spans="1:11" hidden="1">
      <c r="A31" s="6" t="s">
        <v>237</v>
      </c>
      <c r="B31" s="15">
        <f>'Table A13'!B12</f>
        <v>14465</v>
      </c>
      <c r="C31" s="15">
        <f>'Table A13'!C12</f>
        <v>11685</v>
      </c>
      <c r="D31" s="15">
        <f>'Table A13'!D12</f>
        <v>10115</v>
      </c>
      <c r="E31" s="15">
        <f>'Table A13'!E12</f>
        <v>8900</v>
      </c>
      <c r="F31" s="15">
        <f>'Table A13'!F12</f>
        <v>8045</v>
      </c>
      <c r="G31" s="295">
        <f>B31/(SUM($B$31:$F$31))</f>
        <v>0.27184739710580719</v>
      </c>
      <c r="H31" s="295">
        <f t="shared" ref="H31:K31" si="0">C31/(SUM($B$31:$F$31))</f>
        <v>0.21960157865062957</v>
      </c>
      <c r="I31" s="295">
        <f t="shared" si="0"/>
        <v>0.19009584664536741</v>
      </c>
      <c r="J31" s="295">
        <f t="shared" si="0"/>
        <v>0.16726179289607215</v>
      </c>
      <c r="K31" s="295">
        <f t="shared" si="0"/>
        <v>0.15119338470212365</v>
      </c>
    </row>
    <row r="32" spans="1:11" hidden="1">
      <c r="A32" s="42" t="s">
        <v>249</v>
      </c>
      <c r="B32" s="106">
        <f>'Table A13'!B17</f>
        <v>19820</v>
      </c>
      <c r="C32" s="106">
        <f>'Table A13'!C17</f>
        <v>20620</v>
      </c>
      <c r="D32" s="106">
        <f>'Table A13'!D17</f>
        <v>23810</v>
      </c>
      <c r="E32" s="106">
        <f>'Table A13'!E17</f>
        <v>28050</v>
      </c>
      <c r="F32" s="106">
        <f>'Table A13'!F17</f>
        <v>35295</v>
      </c>
    </row>
    <row r="33" spans="1:9" hidden="1">
      <c r="A33" s="16" t="s">
        <v>42</v>
      </c>
      <c r="B33" s="38">
        <f>'Table A13'!B22</f>
        <v>16750</v>
      </c>
      <c r="C33" s="38">
        <f>'Table A13'!C22</f>
        <v>16835</v>
      </c>
      <c r="D33" s="38">
        <f>'Table A13'!D22</f>
        <v>18780</v>
      </c>
      <c r="E33" s="38">
        <f>'Table A13'!E22</f>
        <v>21250</v>
      </c>
      <c r="F33" s="38">
        <f>'Table A13'!F22</f>
        <v>25665</v>
      </c>
    </row>
    <row r="34" spans="1:9" hidden="1">
      <c r="B34" s="136"/>
      <c r="C34" s="136"/>
      <c r="D34" s="136"/>
      <c r="E34" s="136"/>
      <c r="F34" s="136"/>
    </row>
    <row r="35" spans="1:9" hidden="1">
      <c r="A35" s="2" t="s">
        <v>250</v>
      </c>
    </row>
    <row r="36" spans="1:9" hidden="1">
      <c r="A36" s="7" t="str">
        <f>A31</f>
        <v>Bursary and grants</v>
      </c>
      <c r="B36" s="22">
        <f>'Table A13'!B14</f>
        <v>1480</v>
      </c>
      <c r="C36" s="22">
        <f>'Table A13'!C14</f>
        <v>1430</v>
      </c>
      <c r="D36" s="22">
        <f>'Table A13'!D14</f>
        <v>1400</v>
      </c>
      <c r="E36" s="22">
        <f>'Table A13'!E14</f>
        <v>1390</v>
      </c>
      <c r="F36" s="22">
        <f>'Table A13'!F14</f>
        <v>1370</v>
      </c>
    </row>
    <row r="37" spans="1:9" hidden="1">
      <c r="A37" s="7" t="str">
        <f>A32</f>
        <v>Fees and fee loans</v>
      </c>
      <c r="B37" s="22">
        <f>'Table A13'!B19</f>
        <v>1770</v>
      </c>
      <c r="C37" s="22">
        <f>'Table A13'!C19</f>
        <v>1840</v>
      </c>
      <c r="D37" s="22">
        <f>'Table A13'!D19</f>
        <v>1950</v>
      </c>
      <c r="E37" s="22">
        <f>'Table A13'!E19</f>
        <v>2020</v>
      </c>
      <c r="F37" s="22">
        <f>'Table A13'!F19</f>
        <v>2110</v>
      </c>
    </row>
    <row r="38" spans="1:9" hidden="1">
      <c r="A38" s="24" t="str">
        <f>A33</f>
        <v>Loans</v>
      </c>
      <c r="B38" s="25">
        <f>'Table A13'!B24</f>
        <v>5780</v>
      </c>
      <c r="C38" s="25">
        <f>'Table A13'!C24</f>
        <v>5530</v>
      </c>
      <c r="D38" s="25">
        <f>'Table A13'!D24</f>
        <v>5310</v>
      </c>
      <c r="E38" s="25">
        <f>'Table A13'!E24</f>
        <v>5110</v>
      </c>
      <c r="F38" s="25">
        <f>'Table A13'!F24</f>
        <v>4940</v>
      </c>
    </row>
    <row r="39" spans="1:9" hidden="1">
      <c r="B39" s="136"/>
      <c r="C39" s="136"/>
      <c r="D39" s="136"/>
      <c r="E39" s="136"/>
      <c r="F39" s="136"/>
      <c r="G39" s="136"/>
      <c r="H39" s="136"/>
      <c r="I39" s="136"/>
    </row>
    <row r="40" spans="1:9" hidden="1"/>
    <row r="41" spans="1:9">
      <c r="A41" s="2" t="s">
        <v>84</v>
      </c>
    </row>
    <row r="43" spans="1:9">
      <c r="A43" s="56" t="str">
        <f ca="1">'Table A12'!A2</f>
        <v>Table A12: Full-time students receving DSA support by disability type</v>
      </c>
    </row>
    <row r="44" spans="1:9">
      <c r="A44" s="61" t="str">
        <f ca="1">HYPERLINK(CONCATENATE("#'",LEFT(A43,SEARCH(":",A43)-1),"'!A3"),"&gt;&gt;")</f>
        <v>&gt;&gt;</v>
      </c>
    </row>
    <row r="47" spans="1:9">
      <c r="A47" s="69" t="s">
        <v>44</v>
      </c>
    </row>
    <row r="48" spans="1:9">
      <c r="A48" s="9"/>
    </row>
    <row r="49" spans="1:1">
      <c r="A49" s="5" t="s">
        <v>288</v>
      </c>
    </row>
    <row r="50" spans="1:1">
      <c r="A50" s="5"/>
    </row>
    <row r="51" spans="1:1">
      <c r="A51" s="1" t="s">
        <v>240</v>
      </c>
    </row>
    <row r="52" spans="1:1">
      <c r="A52" s="1" t="s">
        <v>242</v>
      </c>
    </row>
    <row r="53" spans="1:1">
      <c r="A53" s="1" t="s">
        <v>241</v>
      </c>
    </row>
    <row r="55" spans="1:1">
      <c r="A55" s="1" t="s">
        <v>243</v>
      </c>
    </row>
    <row r="56" spans="1:1">
      <c r="A56" s="1" t="s">
        <v>289</v>
      </c>
    </row>
    <row r="57" spans="1:1">
      <c r="A57" s="1" t="s">
        <v>244</v>
      </c>
    </row>
  </sheetData>
  <hyperlinks>
    <hyperlink ref="L1" location="Contents!A1" display="&gt;&gt; Contents"/>
  </hyperlinks>
  <pageMargins left="0.39370078740157483" right="0.39370078740157483" top="0.39370078740157483" bottom="0.39370078740157483" header="0" footer="0"/>
  <pageSetup paperSize="9" scale="69" fitToHeight="0" orientation="portrait" r:id="rId1"/>
  <headerFooter>
    <oddFooter>&amp;C&amp;"Calibri,Regular"&amp;KFF0000RESTRICTED STATISTICS Not for release until 25 October 2016</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4881BD"/>
    <pageSetUpPr fitToPage="1"/>
  </sheetPr>
  <dimension ref="A1:N11"/>
  <sheetViews>
    <sheetView showGridLines="0" workbookViewId="0">
      <selection activeCell="A3" sqref="A3"/>
    </sheetView>
  </sheetViews>
  <sheetFormatPr defaultColWidth="10.7109375" defaultRowHeight="15.75"/>
  <cols>
    <col min="1" max="1" width="32" style="1" customWidth="1"/>
    <col min="2" max="16384" width="10.7109375" style="1"/>
  </cols>
  <sheetData>
    <row r="1" spans="1:14" ht="23.25">
      <c r="A1" s="138" t="str">
        <f>Contents!A1</f>
        <v>Higher Education Student Support in Scotland 2017-18</v>
      </c>
      <c r="B1" s="139"/>
      <c r="C1" s="139"/>
      <c r="D1" s="139"/>
      <c r="E1" s="139"/>
      <c r="F1" s="139"/>
      <c r="G1" s="139"/>
      <c r="H1" s="139"/>
      <c r="I1" s="139"/>
      <c r="J1" s="140" t="s">
        <v>70</v>
      </c>
    </row>
    <row r="2" spans="1:14" ht="18.75">
      <c r="A2" s="60" t="str">
        <f ca="1">CONCATENATE(REPLACE(CELL("Filename",A2),1,FIND("]",CELL("filename",A2)),""),": Part-time students receiving tuition fee support")</f>
        <v>Table 4.1: Part-time students receiving tuition fee support</v>
      </c>
      <c r="B2" s="33"/>
      <c r="C2" s="33"/>
      <c r="D2" s="33"/>
      <c r="E2" s="33"/>
      <c r="F2" s="33"/>
      <c r="G2" s="33"/>
      <c r="H2" s="33"/>
      <c r="I2" s="33"/>
      <c r="J2" s="59"/>
    </row>
    <row r="3" spans="1:14">
      <c r="A3" s="172"/>
    </row>
    <row r="4" spans="1:14" ht="22.5" customHeight="1">
      <c r="A4" s="4"/>
      <c r="B4" s="13" t="s">
        <v>15</v>
      </c>
      <c r="C4" s="13" t="s">
        <v>59</v>
      </c>
      <c r="D4" s="13" t="s">
        <v>1</v>
      </c>
      <c r="E4" s="62" t="s">
        <v>61</v>
      </c>
      <c r="F4" s="13" t="s">
        <v>169</v>
      </c>
      <c r="G4" s="13" t="s">
        <v>233</v>
      </c>
      <c r="H4" s="13" t="s">
        <v>246</v>
      </c>
      <c r="I4" s="13" t="s">
        <v>253</v>
      </c>
      <c r="K4" s="93"/>
      <c r="L4" s="330"/>
      <c r="M4" s="330"/>
      <c r="N4" s="93"/>
    </row>
    <row r="5" spans="1:14" ht="18.75" customHeight="1">
      <c r="A5" s="71" t="s">
        <v>77</v>
      </c>
      <c r="B5" s="35">
        <v>7230</v>
      </c>
      <c r="C5" s="35">
        <v>7710</v>
      </c>
      <c r="D5" s="35">
        <v>7535</v>
      </c>
      <c r="E5" s="179">
        <v>14870</v>
      </c>
      <c r="F5" s="11">
        <v>15585</v>
      </c>
      <c r="G5" s="11">
        <v>16575</v>
      </c>
      <c r="H5" s="11">
        <v>18065</v>
      </c>
      <c r="I5" s="11">
        <v>19470</v>
      </c>
      <c r="K5" s="94"/>
      <c r="L5" s="95"/>
      <c r="M5" s="96"/>
    </row>
    <row r="6" spans="1:14" ht="18.75" customHeight="1">
      <c r="A6" s="109" t="s">
        <v>153</v>
      </c>
      <c r="B6" s="149">
        <v>3.5710000000000002</v>
      </c>
      <c r="C6" s="149">
        <v>3.4449999999999998</v>
      </c>
      <c r="D6" s="149">
        <v>3.335</v>
      </c>
      <c r="E6" s="180">
        <v>10.360799999999999</v>
      </c>
      <c r="F6" s="149">
        <v>11.384</v>
      </c>
      <c r="G6" s="149">
        <v>12.848000000000001</v>
      </c>
      <c r="H6" s="149">
        <v>14.382184000000001</v>
      </c>
      <c r="I6" s="149">
        <v>15.704480999999999</v>
      </c>
      <c r="K6" s="94"/>
      <c r="L6" s="99"/>
      <c r="M6" s="96"/>
      <c r="N6" s="94"/>
    </row>
    <row r="7" spans="1:14" ht="18.75" customHeight="1">
      <c r="A7" s="53" t="s">
        <v>134</v>
      </c>
      <c r="B7" s="37">
        <v>490</v>
      </c>
      <c r="C7" s="37">
        <v>450</v>
      </c>
      <c r="D7" s="37">
        <v>440</v>
      </c>
      <c r="E7" s="181">
        <v>700</v>
      </c>
      <c r="F7" s="37">
        <v>730</v>
      </c>
      <c r="G7" s="37">
        <v>780</v>
      </c>
      <c r="H7" s="37">
        <v>800</v>
      </c>
      <c r="I7" s="37">
        <v>810</v>
      </c>
      <c r="K7" s="94"/>
      <c r="L7" s="95"/>
      <c r="M7" s="96"/>
    </row>
    <row r="9" spans="1:14">
      <c r="A9" s="2" t="s">
        <v>44</v>
      </c>
    </row>
    <row r="10" spans="1:14">
      <c r="A10" s="8"/>
    </row>
    <row r="11" spans="1:14" ht="141" customHeight="1">
      <c r="A11" s="329" t="s">
        <v>245</v>
      </c>
      <c r="B11" s="329"/>
      <c r="C11" s="329"/>
      <c r="D11" s="329"/>
      <c r="E11" s="329"/>
      <c r="F11" s="329"/>
      <c r="G11" s="329"/>
      <c r="H11" s="329"/>
      <c r="I11" s="329"/>
      <c r="J11" s="329"/>
    </row>
  </sheetData>
  <mergeCells count="2">
    <mergeCell ref="A11:J11"/>
    <mergeCell ref="L4:M4"/>
  </mergeCells>
  <phoneticPr fontId="3" type="noConversion"/>
  <hyperlinks>
    <hyperlink ref="J1" location="Contents!A1" display="&gt;&gt; Contents"/>
  </hyperlinks>
  <pageMargins left="0.39370078740157483" right="0.39370078740157483" top="0.39370078740157483" bottom="0.39370078740157483" header="0" footer="0"/>
  <pageSetup paperSize="9" scale="58" fitToHeight="0" orientation="portrait" r:id="rId1"/>
  <headerFooter>
    <oddFooter>&amp;C&amp;"Calibri,Regular"&amp;KFF0000RESTRICTED STATISTICS Not for release until 25 October 2016</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4881BD"/>
    <pageSetUpPr fitToPage="1"/>
  </sheetPr>
  <dimension ref="A1:Q28"/>
  <sheetViews>
    <sheetView showGridLines="0" workbookViewId="0"/>
  </sheetViews>
  <sheetFormatPr defaultColWidth="10.7109375" defaultRowHeight="15.75"/>
  <cols>
    <col min="1" max="1" width="21.42578125" style="1" customWidth="1"/>
    <col min="2" max="16384" width="10.7109375" style="1"/>
  </cols>
  <sheetData>
    <row r="1" spans="1:17" ht="23.25">
      <c r="A1" s="138" t="str">
        <f>Contents!A1</f>
        <v>Higher Education Student Support in Scotland 2017-18</v>
      </c>
      <c r="B1" s="139"/>
      <c r="C1" s="139"/>
      <c r="D1" s="139"/>
      <c r="E1" s="139"/>
      <c r="F1" s="139"/>
      <c r="G1" s="139"/>
      <c r="H1" s="139"/>
      <c r="I1" s="139"/>
      <c r="J1" s="139"/>
      <c r="K1" s="140" t="s">
        <v>70</v>
      </c>
    </row>
    <row r="2" spans="1:17" ht="18.75">
      <c r="A2" s="60" t="str">
        <f ca="1">CONCATENATE(REPLACE(CELL("Filename",A2),1,FIND("]",CELL("filename",A2)),""),": Part-time students receiving tuition fee support by age and gender")</f>
        <v>Table 4.2: Part-time students receiving tuition fee support by age and gender</v>
      </c>
      <c r="B2" s="33"/>
      <c r="C2" s="33"/>
      <c r="D2" s="33"/>
      <c r="E2" s="33"/>
      <c r="F2" s="33"/>
      <c r="G2" s="33"/>
      <c r="H2" s="33"/>
      <c r="I2" s="33"/>
      <c r="J2" s="33"/>
      <c r="K2" s="59"/>
    </row>
    <row r="3" spans="1:17">
      <c r="A3" s="172"/>
    </row>
    <row r="4" spans="1:17" ht="22.5" customHeight="1">
      <c r="A4" s="4"/>
      <c r="B4" s="13" t="s">
        <v>15</v>
      </c>
      <c r="C4" s="13" t="s">
        <v>59</v>
      </c>
      <c r="D4" s="13" t="s">
        <v>1</v>
      </c>
      <c r="E4" s="62" t="s">
        <v>61</v>
      </c>
      <c r="F4" s="13" t="s">
        <v>169</v>
      </c>
      <c r="G4" s="13" t="s">
        <v>233</v>
      </c>
      <c r="H4" s="13" t="s">
        <v>246</v>
      </c>
      <c r="I4" s="13" t="s">
        <v>253</v>
      </c>
      <c r="M4" s="93"/>
      <c r="N4" s="330"/>
      <c r="O4" s="330"/>
      <c r="P4" s="93"/>
      <c r="Q4" s="93"/>
    </row>
    <row r="5" spans="1:17" ht="18.75" customHeight="1">
      <c r="A5" s="14" t="s">
        <v>29</v>
      </c>
      <c r="B5" s="73">
        <v>7230</v>
      </c>
      <c r="C5" s="73">
        <v>7700</v>
      </c>
      <c r="D5" s="73">
        <v>7375</v>
      </c>
      <c r="E5" s="271">
        <v>14870</v>
      </c>
      <c r="F5" s="297">
        <v>15585</v>
      </c>
      <c r="G5" s="73">
        <v>16575</v>
      </c>
      <c r="H5" s="73">
        <v>18065</v>
      </c>
      <c r="I5" s="73">
        <v>19470</v>
      </c>
      <c r="M5" s="94"/>
      <c r="N5" s="95"/>
      <c r="O5" s="96"/>
      <c r="P5" s="94"/>
      <c r="Q5" s="94"/>
    </row>
    <row r="6" spans="1:17" ht="18.75" customHeight="1">
      <c r="A6" s="6" t="s">
        <v>35</v>
      </c>
      <c r="B6" s="34">
        <v>10</v>
      </c>
      <c r="C6" s="34">
        <v>120</v>
      </c>
      <c r="D6" s="34">
        <v>105</v>
      </c>
      <c r="E6" s="228">
        <v>100</v>
      </c>
      <c r="F6" s="106">
        <v>100</v>
      </c>
      <c r="G6" s="34">
        <v>95</v>
      </c>
      <c r="H6" s="34">
        <v>110</v>
      </c>
      <c r="I6" s="34">
        <v>110</v>
      </c>
      <c r="L6" s="295"/>
      <c r="M6" s="94"/>
      <c r="N6" s="95"/>
      <c r="O6" s="96"/>
      <c r="P6" s="94"/>
      <c r="Q6" s="94"/>
    </row>
    <row r="7" spans="1:17" ht="18.75" customHeight="1">
      <c r="A7" s="6" t="s">
        <v>64</v>
      </c>
      <c r="B7" s="34">
        <v>395</v>
      </c>
      <c r="C7" s="34">
        <v>745</v>
      </c>
      <c r="D7" s="34">
        <v>705</v>
      </c>
      <c r="E7" s="228">
        <v>925</v>
      </c>
      <c r="F7" s="106">
        <v>875</v>
      </c>
      <c r="G7" s="34">
        <v>890</v>
      </c>
      <c r="H7" s="34">
        <v>1120</v>
      </c>
      <c r="I7" s="34">
        <v>1125</v>
      </c>
      <c r="L7" s="295"/>
      <c r="M7" s="94"/>
      <c r="N7" s="95"/>
      <c r="O7" s="96"/>
      <c r="P7" s="94"/>
      <c r="Q7" s="94"/>
    </row>
    <row r="8" spans="1:17" ht="18.75" customHeight="1">
      <c r="A8" s="6" t="s">
        <v>65</v>
      </c>
      <c r="B8" s="34">
        <v>1020</v>
      </c>
      <c r="C8" s="34">
        <v>1110</v>
      </c>
      <c r="D8" s="34">
        <v>1060</v>
      </c>
      <c r="E8" s="228">
        <v>1980</v>
      </c>
      <c r="F8" s="106">
        <v>2090</v>
      </c>
      <c r="G8" s="34">
        <v>2425</v>
      </c>
      <c r="H8" s="34">
        <v>2625</v>
      </c>
      <c r="I8" s="34">
        <v>2730</v>
      </c>
      <c r="L8" s="295"/>
      <c r="M8" s="94"/>
      <c r="N8" s="95"/>
      <c r="O8" s="96"/>
      <c r="P8" s="94"/>
      <c r="Q8" s="94"/>
    </row>
    <row r="9" spans="1:17" ht="18.75" customHeight="1">
      <c r="A9" s="16" t="s">
        <v>36</v>
      </c>
      <c r="B9" s="38">
        <v>5800</v>
      </c>
      <c r="C9" s="38">
        <v>5725</v>
      </c>
      <c r="D9" s="38">
        <v>5505</v>
      </c>
      <c r="E9" s="63">
        <v>11865</v>
      </c>
      <c r="F9" s="38">
        <v>12520</v>
      </c>
      <c r="G9" s="38">
        <v>13160</v>
      </c>
      <c r="H9" s="38">
        <v>14210</v>
      </c>
      <c r="I9" s="38">
        <v>15510</v>
      </c>
      <c r="L9" s="295"/>
      <c r="M9" s="94"/>
      <c r="N9" s="95"/>
      <c r="O9" s="96"/>
      <c r="P9" s="94"/>
      <c r="Q9" s="94"/>
    </row>
    <row r="10" spans="1:17" ht="18.75" customHeight="1">
      <c r="B10" s="35"/>
      <c r="C10" s="35"/>
      <c r="D10" s="35"/>
      <c r="E10" s="179"/>
      <c r="F10" s="11"/>
      <c r="G10" s="35"/>
      <c r="H10" s="35"/>
      <c r="I10" s="35"/>
    </row>
    <row r="11" spans="1:17" ht="18.75" customHeight="1">
      <c r="A11" s="2" t="s">
        <v>37</v>
      </c>
      <c r="B11" s="36">
        <v>5085</v>
      </c>
      <c r="C11" s="36">
        <v>5550</v>
      </c>
      <c r="D11" s="36">
        <v>5350</v>
      </c>
      <c r="E11" s="272">
        <v>10215</v>
      </c>
      <c r="F11" s="36">
        <v>10860</v>
      </c>
      <c r="G11" s="36">
        <v>11710</v>
      </c>
      <c r="H11" s="36">
        <v>12890</v>
      </c>
      <c r="I11" s="36">
        <v>13955</v>
      </c>
      <c r="L11" s="295"/>
      <c r="M11" s="94"/>
      <c r="N11" s="95"/>
      <c r="O11" s="96"/>
      <c r="P11" s="94"/>
      <c r="Q11" s="94"/>
    </row>
    <row r="12" spans="1:17" ht="18.75" customHeight="1">
      <c r="A12" s="21" t="s">
        <v>35</v>
      </c>
      <c r="B12" s="35">
        <v>5</v>
      </c>
      <c r="C12" s="35">
        <v>70</v>
      </c>
      <c r="D12" s="35">
        <v>50</v>
      </c>
      <c r="E12" s="179">
        <v>50</v>
      </c>
      <c r="F12" s="11">
        <v>45</v>
      </c>
      <c r="G12" s="35">
        <v>35</v>
      </c>
      <c r="H12" s="35">
        <v>35</v>
      </c>
      <c r="I12" s="35">
        <v>55</v>
      </c>
      <c r="L12" s="295"/>
      <c r="M12" s="94"/>
      <c r="N12" s="95"/>
      <c r="O12" s="96"/>
      <c r="P12" s="94"/>
      <c r="Q12" s="94"/>
    </row>
    <row r="13" spans="1:17" ht="18.75" customHeight="1">
      <c r="A13" s="7" t="s">
        <v>64</v>
      </c>
      <c r="B13" s="11">
        <v>135</v>
      </c>
      <c r="C13" s="11">
        <v>310</v>
      </c>
      <c r="D13" s="11">
        <v>315</v>
      </c>
      <c r="E13" s="179">
        <v>485</v>
      </c>
      <c r="F13" s="11">
        <v>500</v>
      </c>
      <c r="G13" s="11">
        <v>500</v>
      </c>
      <c r="H13" s="11">
        <v>640</v>
      </c>
      <c r="I13" s="11">
        <v>675</v>
      </c>
      <c r="L13" s="295"/>
      <c r="M13" s="94"/>
      <c r="N13" s="95"/>
      <c r="O13" s="96"/>
      <c r="P13" s="94"/>
      <c r="Q13" s="94"/>
    </row>
    <row r="14" spans="1:17" ht="18.75" customHeight="1">
      <c r="A14" s="21" t="s">
        <v>65</v>
      </c>
      <c r="B14" s="35">
        <v>620</v>
      </c>
      <c r="C14" s="35">
        <v>765</v>
      </c>
      <c r="D14" s="35">
        <v>705</v>
      </c>
      <c r="E14" s="179">
        <v>1310</v>
      </c>
      <c r="F14" s="11">
        <v>1345</v>
      </c>
      <c r="G14" s="35">
        <v>1635</v>
      </c>
      <c r="H14" s="35">
        <v>1755</v>
      </c>
      <c r="I14" s="35">
        <v>1855</v>
      </c>
      <c r="L14" s="295"/>
      <c r="M14" s="94"/>
      <c r="N14" s="95"/>
      <c r="O14" s="96"/>
      <c r="P14" s="94"/>
      <c r="Q14" s="94"/>
    </row>
    <row r="15" spans="1:17" ht="18.75" customHeight="1">
      <c r="A15" s="7" t="s">
        <v>36</v>
      </c>
      <c r="B15" s="11">
        <v>4325</v>
      </c>
      <c r="C15" s="11">
        <v>4400</v>
      </c>
      <c r="D15" s="11">
        <v>4280</v>
      </c>
      <c r="E15" s="179">
        <v>8375</v>
      </c>
      <c r="F15" s="11">
        <v>8965</v>
      </c>
      <c r="G15" s="11">
        <v>9515</v>
      </c>
      <c r="H15" s="11">
        <v>10420</v>
      </c>
      <c r="I15" s="11">
        <v>11370</v>
      </c>
      <c r="L15" s="295"/>
      <c r="M15" s="94"/>
      <c r="N15" s="95"/>
      <c r="O15" s="96"/>
      <c r="P15" s="94"/>
      <c r="Q15" s="94"/>
    </row>
    <row r="16" spans="1:17" ht="18.75" customHeight="1">
      <c r="B16" s="35"/>
      <c r="C16" s="35"/>
      <c r="D16" s="35"/>
      <c r="E16" s="179"/>
      <c r="F16" s="11"/>
      <c r="G16" s="35"/>
      <c r="H16" s="35"/>
      <c r="I16" s="35"/>
    </row>
    <row r="17" spans="1:17" ht="18.75" customHeight="1">
      <c r="A17" s="2" t="s">
        <v>38</v>
      </c>
      <c r="B17" s="36">
        <v>2140</v>
      </c>
      <c r="C17" s="36">
        <v>2155</v>
      </c>
      <c r="D17" s="36">
        <v>2025</v>
      </c>
      <c r="E17" s="272">
        <v>4570</v>
      </c>
      <c r="F17" s="36">
        <v>4640</v>
      </c>
      <c r="G17" s="36">
        <v>4805</v>
      </c>
      <c r="H17" s="36">
        <v>5115</v>
      </c>
      <c r="I17" s="36">
        <v>5460</v>
      </c>
      <c r="L17" s="295"/>
      <c r="M17" s="94"/>
      <c r="N17" s="95"/>
      <c r="O17" s="96"/>
      <c r="P17" s="94"/>
      <c r="Q17" s="94"/>
    </row>
    <row r="18" spans="1:17" ht="18.75" customHeight="1">
      <c r="A18" s="21" t="s">
        <v>35</v>
      </c>
      <c r="B18" s="35" t="s">
        <v>174</v>
      </c>
      <c r="C18" s="35">
        <v>50</v>
      </c>
      <c r="D18" s="35">
        <v>60</v>
      </c>
      <c r="E18" s="179">
        <v>50</v>
      </c>
      <c r="F18" s="11">
        <v>55</v>
      </c>
      <c r="G18" s="35">
        <v>60</v>
      </c>
      <c r="H18" s="35">
        <v>75</v>
      </c>
      <c r="I18" s="35">
        <v>50</v>
      </c>
      <c r="L18" s="295"/>
      <c r="M18" s="94"/>
      <c r="N18" s="95"/>
      <c r="O18" s="96"/>
      <c r="P18" s="94"/>
      <c r="Q18" s="94"/>
    </row>
    <row r="19" spans="1:17" ht="18.75" customHeight="1">
      <c r="A19" s="7" t="s">
        <v>64</v>
      </c>
      <c r="B19" s="11">
        <v>260</v>
      </c>
      <c r="C19" s="11">
        <v>435</v>
      </c>
      <c r="D19" s="11">
        <v>390</v>
      </c>
      <c r="E19" s="179">
        <v>435</v>
      </c>
      <c r="F19" s="11">
        <v>370</v>
      </c>
      <c r="G19" s="11">
        <v>385</v>
      </c>
      <c r="H19" s="11">
        <v>475</v>
      </c>
      <c r="I19" s="11">
        <v>440</v>
      </c>
      <c r="L19" s="295"/>
      <c r="M19" s="94"/>
      <c r="N19" s="95"/>
      <c r="O19" s="96"/>
      <c r="P19" s="94"/>
      <c r="Q19" s="94"/>
    </row>
    <row r="20" spans="1:17" ht="18.75" customHeight="1">
      <c r="A20" s="21" t="s">
        <v>65</v>
      </c>
      <c r="B20" s="35">
        <v>405</v>
      </c>
      <c r="C20" s="35">
        <v>345</v>
      </c>
      <c r="D20" s="35">
        <v>355</v>
      </c>
      <c r="E20" s="179">
        <v>660</v>
      </c>
      <c r="F20" s="11">
        <v>730</v>
      </c>
      <c r="G20" s="35">
        <v>785</v>
      </c>
      <c r="H20" s="35">
        <v>865</v>
      </c>
      <c r="I20" s="35">
        <v>865</v>
      </c>
      <c r="L20" s="295"/>
      <c r="M20" s="94"/>
      <c r="N20" s="95"/>
      <c r="O20" s="96"/>
      <c r="P20" s="94"/>
      <c r="Q20" s="94"/>
    </row>
    <row r="21" spans="1:17" ht="18.75" customHeight="1">
      <c r="A21" s="7" t="s">
        <v>36</v>
      </c>
      <c r="B21" s="11">
        <v>1475</v>
      </c>
      <c r="C21" s="11">
        <v>1325</v>
      </c>
      <c r="D21" s="11">
        <v>1225</v>
      </c>
      <c r="E21" s="179">
        <v>3425</v>
      </c>
      <c r="F21" s="11">
        <v>3495</v>
      </c>
      <c r="G21" s="11">
        <v>3600</v>
      </c>
      <c r="H21" s="11">
        <v>3735</v>
      </c>
      <c r="I21" s="11">
        <v>4095</v>
      </c>
      <c r="L21" s="295"/>
      <c r="M21" s="94"/>
      <c r="N21" s="95"/>
      <c r="O21" s="96"/>
      <c r="P21" s="94"/>
      <c r="Q21" s="94"/>
    </row>
    <row r="22" spans="1:17" ht="18.75" customHeight="1">
      <c r="B22" s="35"/>
      <c r="C22" s="35"/>
      <c r="D22" s="35"/>
      <c r="E22" s="179"/>
      <c r="F22" s="11"/>
      <c r="G22" s="35"/>
      <c r="H22" s="35"/>
      <c r="I22" s="35"/>
    </row>
    <row r="23" spans="1:17" ht="18.75" customHeight="1">
      <c r="A23" s="182" t="s">
        <v>45</v>
      </c>
      <c r="B23" s="183" t="s">
        <v>232</v>
      </c>
      <c r="C23" s="183" t="s">
        <v>232</v>
      </c>
      <c r="D23" s="183">
        <v>160</v>
      </c>
      <c r="E23" s="273">
        <v>85</v>
      </c>
      <c r="F23" s="183">
        <v>85</v>
      </c>
      <c r="G23" s="183">
        <v>55</v>
      </c>
      <c r="H23" s="183">
        <v>60</v>
      </c>
      <c r="I23" s="183">
        <v>55</v>
      </c>
      <c r="M23" s="94"/>
      <c r="N23" s="95"/>
      <c r="O23" s="96"/>
      <c r="P23" s="94"/>
      <c r="Q23" s="94"/>
    </row>
    <row r="24" spans="1:17">
      <c r="B24" s="136"/>
      <c r="C24" s="136"/>
      <c r="D24" s="136"/>
      <c r="E24" s="136"/>
      <c r="F24" s="136"/>
      <c r="G24" s="136"/>
      <c r="H24" s="136"/>
      <c r="I24" s="136"/>
    </row>
    <row r="25" spans="1:17">
      <c r="A25" s="8"/>
    </row>
    <row r="26" spans="1:17">
      <c r="A26" s="2" t="s">
        <v>44</v>
      </c>
    </row>
    <row r="27" spans="1:17">
      <c r="A27" s="8"/>
    </row>
    <row r="28" spans="1:17">
      <c r="A28" s="1" t="s">
        <v>235</v>
      </c>
    </row>
  </sheetData>
  <mergeCells count="1">
    <mergeCell ref="N4:O4"/>
  </mergeCells>
  <phoneticPr fontId="3" type="noConversion"/>
  <hyperlinks>
    <hyperlink ref="K1" location="Contents!A1" display="&gt;&gt; Contents"/>
  </hyperlinks>
  <pageMargins left="0.39370078740157483" right="0.39370078740157483" top="0.39370078740157483" bottom="0.39370078740157483" header="0" footer="0"/>
  <pageSetup paperSize="9" scale="53" fitToHeight="0" orientation="portrait" r:id="rId1"/>
  <headerFooter>
    <oddFooter>&amp;C&amp;"Calibri,Regular"&amp;KFF0000RESTRICTED STATISTICS Not for release until 25 October 2016</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008080"/>
    <pageSetUpPr fitToPage="1"/>
  </sheetPr>
  <dimension ref="A1:M13"/>
  <sheetViews>
    <sheetView showGridLines="0" workbookViewId="0"/>
  </sheetViews>
  <sheetFormatPr defaultColWidth="10.7109375" defaultRowHeight="15.75"/>
  <cols>
    <col min="1" max="1" width="32" style="1" customWidth="1"/>
    <col min="2" max="16384" width="10.7109375" style="1"/>
  </cols>
  <sheetData>
    <row r="1" spans="1:13" ht="23.25">
      <c r="A1" s="138" t="str">
        <f>Contents!A1</f>
        <v>Higher Education Student Support in Scotland 2017-18</v>
      </c>
      <c r="B1" s="139"/>
      <c r="C1" s="139"/>
      <c r="D1" s="139"/>
      <c r="E1" s="139"/>
      <c r="F1" s="139"/>
      <c r="G1" s="139"/>
      <c r="H1" s="139"/>
      <c r="I1" s="139"/>
      <c r="J1" s="140" t="s">
        <v>70</v>
      </c>
    </row>
    <row r="2" spans="1:13" ht="18.75">
      <c r="A2" s="60" t="str">
        <f ca="1">CONCATENATE(REPLACE(CELL("Filename",A2),1,FIND("]",CELL("filename",A2)),""),": Nursing and Midwifery support by year")</f>
        <v>Table 5.1: Nursing and Midwifery support by year</v>
      </c>
      <c r="B2" s="33"/>
      <c r="C2" s="33"/>
      <c r="D2" s="33"/>
      <c r="E2" s="33"/>
      <c r="F2" s="33"/>
      <c r="G2" s="33"/>
      <c r="H2" s="33"/>
      <c r="I2" s="33"/>
      <c r="J2" s="59"/>
    </row>
    <row r="3" spans="1:13">
      <c r="A3" s="172"/>
      <c r="C3" s="2"/>
      <c r="D3" s="2"/>
    </row>
    <row r="4" spans="1:13" ht="22.5" customHeight="1">
      <c r="A4" s="4"/>
      <c r="B4" s="13" t="s">
        <v>59</v>
      </c>
      <c r="C4" s="13" t="s">
        <v>1</v>
      </c>
      <c r="D4" s="13" t="s">
        <v>61</v>
      </c>
      <c r="E4" s="13" t="s">
        <v>169</v>
      </c>
      <c r="F4" s="13" t="s">
        <v>233</v>
      </c>
      <c r="G4" s="13" t="s">
        <v>246</v>
      </c>
      <c r="H4" s="13" t="s">
        <v>268</v>
      </c>
    </row>
    <row r="5" spans="1:13" ht="18.75" customHeight="1">
      <c r="A5" s="2" t="s">
        <v>29</v>
      </c>
      <c r="B5" s="54"/>
      <c r="C5" s="54"/>
      <c r="D5" s="54"/>
      <c r="E5" s="54"/>
      <c r="F5" s="54"/>
      <c r="G5" s="54"/>
      <c r="H5" s="209"/>
      <c r="K5" s="93"/>
      <c r="L5" s="330"/>
      <c r="M5" s="330"/>
    </row>
    <row r="6" spans="1:13" ht="18.75" customHeight="1">
      <c r="A6" s="21" t="s">
        <v>77</v>
      </c>
      <c r="B6" s="54">
        <v>9320</v>
      </c>
      <c r="C6" s="54">
        <v>8755</v>
      </c>
      <c r="D6" s="54">
        <v>8225</v>
      </c>
      <c r="E6" s="54">
        <v>8425</v>
      </c>
      <c r="F6" s="54">
        <v>8780</v>
      </c>
      <c r="G6" s="54">
        <v>8910</v>
      </c>
      <c r="H6" s="209">
        <v>9015</v>
      </c>
      <c r="K6" s="94"/>
      <c r="L6" s="95"/>
      <c r="M6" s="96"/>
    </row>
    <row r="7" spans="1:13" ht="18.75" customHeight="1">
      <c r="A7" s="7" t="s">
        <v>130</v>
      </c>
      <c r="B7" s="148">
        <v>64.937034999999995</v>
      </c>
      <c r="C7" s="148">
        <v>61.192999999999998</v>
      </c>
      <c r="D7" s="148">
        <v>56.56</v>
      </c>
      <c r="E7" s="148">
        <v>58.734000000000002</v>
      </c>
      <c r="F7" s="148">
        <v>61.511240000000001</v>
      </c>
      <c r="G7" s="148">
        <v>63.145716999999998</v>
      </c>
      <c r="H7" s="210">
        <v>66.940554000000006</v>
      </c>
      <c r="K7" s="94"/>
      <c r="L7" s="99"/>
      <c r="M7" s="96"/>
    </row>
    <row r="8" spans="1:13" ht="18.75" customHeight="1">
      <c r="A8" s="24" t="s">
        <v>134</v>
      </c>
      <c r="B8" s="66">
        <v>6970</v>
      </c>
      <c r="C8" s="66">
        <v>6990</v>
      </c>
      <c r="D8" s="66">
        <v>6880</v>
      </c>
      <c r="E8" s="66">
        <v>6970</v>
      </c>
      <c r="F8" s="66">
        <v>6950</v>
      </c>
      <c r="G8" s="66">
        <v>7090</v>
      </c>
      <c r="H8" s="211">
        <v>7430</v>
      </c>
      <c r="K8" s="94"/>
      <c r="L8" s="95"/>
      <c r="M8" s="96"/>
    </row>
    <row r="10" spans="1:13">
      <c r="A10" s="2" t="s">
        <v>44</v>
      </c>
    </row>
    <row r="11" spans="1:13">
      <c r="A11" s="8"/>
    </row>
    <row r="12" spans="1:13">
      <c r="A12" s="1" t="s">
        <v>269</v>
      </c>
    </row>
    <row r="13" spans="1:13" ht="18">
      <c r="A13" s="1" t="s">
        <v>270</v>
      </c>
    </row>
  </sheetData>
  <mergeCells count="1">
    <mergeCell ref="L5:M5"/>
  </mergeCells>
  <phoneticPr fontId="3" type="noConversion"/>
  <hyperlinks>
    <hyperlink ref="J1" location="Contents!A1" display="&gt;&gt; Contents"/>
  </hyperlinks>
  <pageMargins left="0.39370078740157483" right="0.39370078740157483" top="0.39370078740157483" bottom="0.39370078740157483" header="0" footer="0"/>
  <pageSetup paperSize="9" scale="60" fitToHeight="0" orientation="portrait" r:id="rId1"/>
  <headerFooter>
    <oddFooter>&amp;C&amp;"Calibri,Regular"&amp;KFF0000RESTRICTED STATISTICS Not for release until 25 October 2016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0" tint="-0.499984740745262"/>
    <pageSetUpPr fitToPage="1"/>
  </sheetPr>
  <dimension ref="A1:I32"/>
  <sheetViews>
    <sheetView showGridLines="0" zoomScaleNormal="100" workbookViewId="0"/>
  </sheetViews>
  <sheetFormatPr defaultRowHeight="18.75" customHeight="1"/>
  <cols>
    <col min="1" max="1" width="10.7109375" style="1" customWidth="1"/>
    <col min="2" max="2" width="107.140625" style="1" customWidth="1"/>
    <col min="3" max="3" width="10.7109375" style="1" customWidth="1"/>
    <col min="4" max="16384" width="9.140625" style="1"/>
  </cols>
  <sheetData>
    <row r="1" spans="1:9" ht="23.25">
      <c r="A1" s="138" t="str">
        <f>Contents!A1</f>
        <v>Higher Education Student Support in Scotland 2017-18</v>
      </c>
      <c r="B1" s="140"/>
      <c r="C1" s="140" t="s">
        <v>70</v>
      </c>
    </row>
    <row r="2" spans="1:9">
      <c r="A2" s="60" t="str">
        <f ca="1">REPLACE(CELL("Filename",A2),1,FIND("]",CELL("filename",A2)),"")</f>
        <v>Notes</v>
      </c>
      <c r="B2" s="33"/>
      <c r="C2" s="33"/>
    </row>
    <row r="3" spans="1:9" ht="15.75">
      <c r="A3" s="172"/>
      <c r="I3" s="9"/>
    </row>
    <row r="4" spans="1:9" s="71" customFormat="1" ht="15.75">
      <c r="A4" s="76" t="s">
        <v>217</v>
      </c>
      <c r="B4" s="76"/>
      <c r="C4" s="76"/>
    </row>
    <row r="5" spans="1:9" s="71" customFormat="1" ht="15.75"/>
    <row r="6" spans="1:9" s="77" customFormat="1" ht="47.25">
      <c r="A6" s="80" t="s">
        <v>89</v>
      </c>
      <c r="B6" s="79" t="s">
        <v>219</v>
      </c>
    </row>
    <row r="7" spans="1:9" s="77" customFormat="1" ht="47.25" customHeight="1">
      <c r="A7" s="80" t="s">
        <v>89</v>
      </c>
      <c r="B7" s="79" t="s">
        <v>220</v>
      </c>
    </row>
    <row r="8" spans="1:9" s="77" customFormat="1" ht="47.25" customHeight="1">
      <c r="A8" s="80" t="s">
        <v>89</v>
      </c>
      <c r="B8" s="79" t="s">
        <v>218</v>
      </c>
    </row>
    <row r="9" spans="1:9" s="77" customFormat="1" ht="47.25" customHeight="1">
      <c r="A9" s="80" t="s">
        <v>89</v>
      </c>
      <c r="B9" s="79" t="s">
        <v>264</v>
      </c>
    </row>
    <row r="10" spans="1:9" s="77" customFormat="1" ht="63" customHeight="1">
      <c r="A10" s="80" t="s">
        <v>89</v>
      </c>
      <c r="B10" s="79" t="s">
        <v>221</v>
      </c>
    </row>
    <row r="11" spans="1:9" s="71" customFormat="1" ht="15.75">
      <c r="A11" s="76" t="s">
        <v>85</v>
      </c>
      <c r="B11" s="76"/>
      <c r="C11" s="76"/>
    </row>
    <row r="12" spans="1:9" s="71" customFormat="1" ht="15.75"/>
    <row r="13" spans="1:9" s="77" customFormat="1" ht="47.25">
      <c r="A13" s="80" t="s">
        <v>89</v>
      </c>
      <c r="B13" s="79" t="s">
        <v>90</v>
      </c>
    </row>
    <row r="14" spans="1:9" s="77" customFormat="1" ht="31.5" customHeight="1">
      <c r="A14" s="80" t="s">
        <v>89</v>
      </c>
      <c r="B14" s="79" t="s">
        <v>192</v>
      </c>
    </row>
    <row r="15" spans="1:9" s="77" customFormat="1" ht="31.5">
      <c r="A15" s="80" t="s">
        <v>89</v>
      </c>
      <c r="B15" s="79" t="s">
        <v>91</v>
      </c>
    </row>
    <row r="16" spans="1:9" s="77" customFormat="1" ht="63">
      <c r="A16" s="80" t="s">
        <v>89</v>
      </c>
      <c r="B16" s="79" t="s">
        <v>92</v>
      </c>
    </row>
    <row r="17" spans="1:3" s="71" customFormat="1" ht="15.75"/>
    <row r="18" spans="1:3" s="71" customFormat="1" ht="15.75">
      <c r="A18" s="76" t="s">
        <v>87</v>
      </c>
      <c r="B18" s="76"/>
      <c r="C18" s="76"/>
    </row>
    <row r="19" spans="1:3" s="71" customFormat="1" ht="15.75"/>
    <row r="20" spans="1:3" s="77" customFormat="1" ht="31.5">
      <c r="A20" s="80" t="s">
        <v>89</v>
      </c>
      <c r="B20" s="79" t="s">
        <v>286</v>
      </c>
    </row>
    <row r="21" spans="1:3" s="77" customFormat="1" ht="47.25">
      <c r="A21" s="80" t="s">
        <v>89</v>
      </c>
      <c r="B21" s="79" t="s">
        <v>93</v>
      </c>
    </row>
    <row r="22" spans="1:3" s="77" customFormat="1" ht="31.5">
      <c r="A22" s="80" t="s">
        <v>89</v>
      </c>
      <c r="B22" s="79" t="s">
        <v>94</v>
      </c>
    </row>
    <row r="23" spans="1:3" s="77" customFormat="1" ht="31.5" customHeight="1">
      <c r="A23" s="80" t="s">
        <v>89</v>
      </c>
      <c r="B23" s="79" t="s">
        <v>194</v>
      </c>
    </row>
    <row r="24" spans="1:3" s="77" customFormat="1" ht="31.5">
      <c r="A24" s="80" t="s">
        <v>89</v>
      </c>
      <c r="B24" s="79" t="s">
        <v>95</v>
      </c>
    </row>
    <row r="25" spans="1:3" s="77" customFormat="1" ht="47.25">
      <c r="A25" s="80" t="s">
        <v>89</v>
      </c>
      <c r="B25" s="79" t="s">
        <v>287</v>
      </c>
    </row>
    <row r="26" spans="1:3" s="71" customFormat="1" ht="31.5">
      <c r="A26" s="80" t="s">
        <v>89</v>
      </c>
      <c r="B26" s="75" t="s">
        <v>193</v>
      </c>
    </row>
    <row r="27" spans="1:3" s="71" customFormat="1" ht="15.75">
      <c r="A27" s="78"/>
    </row>
    <row r="28" spans="1:3" s="71" customFormat="1" ht="15.75">
      <c r="A28" s="76" t="s">
        <v>86</v>
      </c>
      <c r="B28" s="76"/>
      <c r="C28" s="76"/>
    </row>
    <row r="29" spans="1:3" s="71" customFormat="1" ht="15.75"/>
    <row r="30" spans="1:3" s="77" customFormat="1" ht="31.5">
      <c r="A30" s="80" t="s">
        <v>89</v>
      </c>
      <c r="B30" s="79" t="s">
        <v>254</v>
      </c>
    </row>
    <row r="31" spans="1:3" ht="18.75" customHeight="1">
      <c r="A31" s="78"/>
      <c r="B31" s="74"/>
    </row>
    <row r="32" spans="1:3" ht="18.75" customHeight="1">
      <c r="A32" s="74"/>
      <c r="B32" s="74"/>
    </row>
  </sheetData>
  <hyperlinks>
    <hyperlink ref="C1" location="Contents!A1" display="&gt;&gt; Contents"/>
  </hyperlinks>
  <pageMargins left="0.39370078740157483" right="0.39370078740157483" top="0.39370078740157483" bottom="0.39370078740157483" header="0" footer="0"/>
  <pageSetup paperSize="9" scale="75" fitToHeight="0" orientation="portrait" r:id="rId1"/>
  <headerFooter>
    <oddFooter>&amp;C&amp;"Calibri,Regular"&amp;KFF0000RESTRICTED STATISTICS Not for release until 25 October 2016</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008080"/>
    <pageSetUpPr fitToPage="1"/>
  </sheetPr>
  <dimension ref="A1:J43"/>
  <sheetViews>
    <sheetView showGridLines="0" zoomScaleNormal="100" workbookViewId="0"/>
  </sheetViews>
  <sheetFormatPr defaultColWidth="10.7109375" defaultRowHeight="15.75"/>
  <cols>
    <col min="1" max="1" width="21.42578125" style="1" customWidth="1"/>
    <col min="2" max="2" width="10.7109375" style="1"/>
    <col min="3" max="3" width="12.28515625" style="1" bestFit="1" customWidth="1"/>
    <col min="4" max="4" width="10.7109375" style="1"/>
    <col min="5" max="5" width="50.140625" style="1" customWidth="1"/>
    <col min="6" max="6" width="11.28515625" style="1" bestFit="1" customWidth="1"/>
    <col min="7" max="7" width="11.85546875" style="1" bestFit="1" customWidth="1"/>
    <col min="8" max="16384" width="10.7109375" style="1"/>
  </cols>
  <sheetData>
    <row r="1" spans="1:7" ht="23.25">
      <c r="A1" s="138" t="str">
        <f>Contents!A1</f>
        <v>Higher Education Student Support in Scotland 2017-18</v>
      </c>
      <c r="B1" s="139"/>
      <c r="C1" s="139"/>
      <c r="D1" s="139"/>
      <c r="E1" s="139"/>
      <c r="F1" s="139"/>
      <c r="G1" s="140" t="s">
        <v>70</v>
      </c>
    </row>
    <row r="2" spans="1:7" ht="18.75">
      <c r="A2" s="60" t="str">
        <f ca="1">CONCATENATE(REPLACE(CELL("Filename",A2),1,FIND("]",CELL("filename",A2)),""),": Nursing and midwifery support by type of bursaries and grants awarded")</f>
        <v>Figure 5.1: Nursing and midwifery support by type of bursaries and grants awarded</v>
      </c>
      <c r="B2" s="33"/>
      <c r="C2" s="33"/>
      <c r="D2" s="33"/>
      <c r="E2" s="33"/>
      <c r="F2" s="33"/>
      <c r="G2" s="59"/>
    </row>
    <row r="3" spans="1:7">
      <c r="A3" s="172"/>
    </row>
    <row r="24" spans="1:10">
      <c r="A24" s="2" t="s">
        <v>236</v>
      </c>
      <c r="B24" s="1" t="str">
        <f>MID(Contents!A1,46,7)</f>
        <v>2017-18</v>
      </c>
    </row>
    <row r="26" spans="1:10" hidden="1">
      <c r="A26" s="2" t="s">
        <v>74</v>
      </c>
    </row>
    <row r="27" spans="1:10" s="100" customFormat="1" hidden="1">
      <c r="A27" s="1"/>
      <c r="B27" s="1"/>
      <c r="C27" s="1"/>
      <c r="D27" s="1"/>
      <c r="E27" s="1"/>
    </row>
    <row r="28" spans="1:10" s="100" customFormat="1" hidden="1">
      <c r="A28" s="101" t="str">
        <f>'Table A9'!A6</f>
        <v>Total award payments</v>
      </c>
      <c r="B28" s="103">
        <f>MROUND(9014,5)</f>
        <v>9015</v>
      </c>
      <c r="C28" s="169">
        <v>66.940554000000006</v>
      </c>
      <c r="D28" s="200"/>
      <c r="E28" s="100" t="str">
        <f>CONCATENATE(TEXT(B28,"#,###")," students receiving ",TEXT(C28,"£#,###.0")," million of support")</f>
        <v>9,015 students receiving £66.9 million of support</v>
      </c>
      <c r="G28" s="111"/>
      <c r="H28" s="111"/>
      <c r="I28" s="111"/>
    </row>
    <row r="29" spans="1:10" s="100" customFormat="1" hidden="1">
      <c r="A29" s="1"/>
      <c r="B29" s="18"/>
      <c r="C29" s="170"/>
      <c r="D29" s="201"/>
      <c r="E29" s="1"/>
    </row>
    <row r="30" spans="1:10" s="100" customFormat="1" hidden="1">
      <c r="A30" s="101" t="str">
        <f>'Table A9'!A8</f>
        <v>Bursary</v>
      </c>
      <c r="B30" s="103"/>
      <c r="C30" s="169">
        <f>C31</f>
        <v>55.552349</v>
      </c>
      <c r="D30" s="202">
        <f>C30/C$28</f>
        <v>0.82987584775590584</v>
      </c>
      <c r="E30" s="100" t="str">
        <f>CONCATENATE(TEXT(C30,"£#,##0.0")," million (",TEXT(D30,"#%"),")")</f>
        <v>£55.6 million (83%)</v>
      </c>
      <c r="G30" s="114"/>
      <c r="H30" s="112"/>
      <c r="I30" s="113"/>
    </row>
    <row r="31" spans="1:10" s="100" customFormat="1" hidden="1">
      <c r="A31" s="105" t="s">
        <v>195</v>
      </c>
      <c r="B31" s="103">
        <f>MROUND(9013,5)</f>
        <v>9015</v>
      </c>
      <c r="C31" s="169">
        <v>55.552349</v>
      </c>
      <c r="D31" s="202">
        <f>C31/C$28</f>
        <v>0.82987584775590584</v>
      </c>
      <c r="E31" s="100" t="str">
        <f>CONCATENATE(A31,CHAR(10),TEXT(B31,"#,#")," | ",TEXT(C31,"£0.0"),"M |")</f>
        <v>Student Nurses Bursary
9,015 | £55.6M |</v>
      </c>
      <c r="F31" s="110">
        <f>MROUND(C31*1000000/B31,10)</f>
        <v>6160</v>
      </c>
      <c r="G31" s="112"/>
      <c r="H31" s="116"/>
      <c r="I31" s="113"/>
    </row>
    <row r="32" spans="1:10" hidden="1">
      <c r="A32" s="100"/>
      <c r="B32" s="103"/>
      <c r="C32" s="169"/>
      <c r="D32" s="200"/>
      <c r="E32" s="100"/>
      <c r="G32" s="100"/>
      <c r="H32" s="112"/>
      <c r="I32" s="113"/>
      <c r="J32" s="100"/>
    </row>
    <row r="33" spans="1:10" hidden="1">
      <c r="A33" s="101" t="str">
        <f>'Table A9'!A16</f>
        <v>Living Cost Grants</v>
      </c>
      <c r="B33" s="103"/>
      <c r="C33" s="169">
        <f>SUM(C34:C39)</f>
        <v>11.385439</v>
      </c>
      <c r="D33" s="202">
        <f t="shared" ref="D33:D39" si="0">C33/C$28</f>
        <v>0.17008283200046415</v>
      </c>
      <c r="E33" s="100" t="str">
        <f>CONCATENATE(TEXT(C33,"£#,##0.0")," million (",TEXT(D33,"#%"),")")</f>
        <v>£11.4 million (17%)</v>
      </c>
      <c r="G33" s="114"/>
      <c r="H33" s="114"/>
      <c r="I33" s="113"/>
      <c r="J33" s="100"/>
    </row>
    <row r="34" spans="1:10" hidden="1">
      <c r="A34" s="105" t="s">
        <v>196</v>
      </c>
      <c r="B34" s="103">
        <f>MROUND(2944,5)</f>
        <v>2945</v>
      </c>
      <c r="C34" s="169">
        <v>0.17663999999999999</v>
      </c>
      <c r="D34" s="202">
        <f t="shared" si="0"/>
        <v>2.6387591593580173E-3</v>
      </c>
      <c r="E34" s="100" t="str">
        <f t="shared" ref="E34:E39" si="1">CONCATENATE(A34,CHAR(10),TEXT(B34,"#,#")," | ",TEXT(C34,"£0.0"),"M |")</f>
        <v>Initial Expenses
2,945 | £0.2M |</v>
      </c>
      <c r="F34" s="110">
        <f t="shared" ref="F34:F39" si="2">MROUND(C34*1000000/B34,10)</f>
        <v>60</v>
      </c>
      <c r="G34" s="112"/>
      <c r="H34" s="116"/>
      <c r="I34" s="113"/>
      <c r="J34" s="100"/>
    </row>
    <row r="35" spans="1:10" hidden="1">
      <c r="A35" s="105" t="s">
        <v>197</v>
      </c>
      <c r="B35" s="103">
        <f>MROUND(2438,5)</f>
        <v>2440</v>
      </c>
      <c r="C35" s="169">
        <v>1.904074</v>
      </c>
      <c r="D35" s="202">
        <f t="shared" si="0"/>
        <v>2.8444252194267765E-2</v>
      </c>
      <c r="E35" s="100" t="str">
        <f t="shared" si="1"/>
        <v>Placement Expenses
2,440 | £1.9M |</v>
      </c>
      <c r="F35" s="110">
        <f t="shared" si="2"/>
        <v>780</v>
      </c>
      <c r="G35" s="112"/>
      <c r="H35" s="116"/>
      <c r="I35" s="113"/>
      <c r="J35" s="100"/>
    </row>
    <row r="36" spans="1:10" hidden="1">
      <c r="A36" s="105" t="s">
        <v>198</v>
      </c>
      <c r="B36" s="103">
        <f>MROUND(1215,5)</f>
        <v>1215</v>
      </c>
      <c r="C36" s="169">
        <v>4.4740890000000002</v>
      </c>
      <c r="D36" s="202">
        <f t="shared" si="0"/>
        <v>6.6836748916060659E-2</v>
      </c>
      <c r="E36" s="100" t="str">
        <f t="shared" si="1"/>
        <v>Dependants Allowance
1,215 | £4.5M |</v>
      </c>
      <c r="F36" s="110">
        <f t="shared" si="2"/>
        <v>3680</v>
      </c>
      <c r="G36" s="112"/>
      <c r="H36" s="116"/>
      <c r="I36" s="113"/>
      <c r="J36" s="100"/>
    </row>
    <row r="37" spans="1:10" hidden="1">
      <c r="A37" s="105" t="s">
        <v>199</v>
      </c>
      <c r="B37" s="103">
        <f>MROUND(1001,5)</f>
        <v>1000</v>
      </c>
      <c r="C37" s="169">
        <v>2.150296</v>
      </c>
      <c r="D37" s="202">
        <f t="shared" si="0"/>
        <v>3.2122470931447621E-2</v>
      </c>
      <c r="E37" s="100" t="str">
        <f t="shared" si="1"/>
        <v>Childcare Allowance
1,000 | £2.2M |</v>
      </c>
      <c r="F37" s="110">
        <f t="shared" si="2"/>
        <v>2150</v>
      </c>
      <c r="G37" s="112"/>
      <c r="H37" s="116"/>
      <c r="I37" s="113"/>
      <c r="J37" s="100"/>
    </row>
    <row r="38" spans="1:10" hidden="1">
      <c r="A38" s="105" t="s">
        <v>200</v>
      </c>
      <c r="B38" s="103">
        <f>MROUND(1041,5)</f>
        <v>1040</v>
      </c>
      <c r="C38" s="169">
        <v>2.223249</v>
      </c>
      <c r="D38" s="202">
        <f t="shared" si="0"/>
        <v>3.3212288622529174E-2</v>
      </c>
      <c r="E38" s="100" t="str">
        <f t="shared" si="1"/>
        <v>Single Parents Allowance
1,040 | £2.2M |</v>
      </c>
      <c r="F38" s="110">
        <f t="shared" si="2"/>
        <v>2140</v>
      </c>
      <c r="G38" s="112"/>
      <c r="H38" s="116"/>
      <c r="I38" s="113"/>
      <c r="J38" s="100"/>
    </row>
    <row r="39" spans="1:10" hidden="1">
      <c r="A39" s="105" t="s">
        <v>12</v>
      </c>
      <c r="B39" s="103">
        <f>MROUND(350,5)</f>
        <v>350</v>
      </c>
      <c r="C39" s="169">
        <v>0.45709100000000003</v>
      </c>
      <c r="D39" s="202">
        <f t="shared" si="0"/>
        <v>6.8283121768009268E-3</v>
      </c>
      <c r="E39" s="100" t="str">
        <f t="shared" si="1"/>
        <v>Disabled Students Allowance
350 | £0.5M |</v>
      </c>
      <c r="F39" s="110">
        <f t="shared" si="2"/>
        <v>1310</v>
      </c>
      <c r="G39" s="112"/>
      <c r="H39" s="116"/>
      <c r="I39" s="113"/>
      <c r="J39" s="100"/>
    </row>
    <row r="40" spans="1:10" hidden="1">
      <c r="B40" s="18"/>
      <c r="C40" s="170"/>
      <c r="D40" s="201"/>
      <c r="G40" s="100"/>
      <c r="H40" s="112"/>
      <c r="I40" s="113"/>
      <c r="J40" s="100"/>
    </row>
    <row r="41" spans="1:10" hidden="1">
      <c r="A41" s="101" t="str">
        <f>'Table A9'!A26</f>
        <v>Other</v>
      </c>
      <c r="B41" s="103"/>
      <c r="C41" s="169">
        <f>C42</f>
        <v>2.7659999999999998E-3</v>
      </c>
      <c r="D41" s="202">
        <f>C41/C$28</f>
        <v>4.1320243629892869E-5</v>
      </c>
      <c r="E41" s="100" t="str">
        <f>CONCATENATE(TEXT(C41,"£#,##0.0")," million (",TEXT(D41,"0.0%"),")")</f>
        <v>£0.0 million (0.0%)</v>
      </c>
      <c r="G41" s="114"/>
      <c r="H41" s="114"/>
      <c r="I41" s="113"/>
      <c r="J41" s="100"/>
    </row>
    <row r="42" spans="1:10" hidden="1">
      <c r="A42" s="105" t="str">
        <f>'Table A9'!A27</f>
        <v xml:space="preserve">Adhoc Payments </v>
      </c>
      <c r="B42" s="103">
        <f>MROUND(39,5)</f>
        <v>40</v>
      </c>
      <c r="C42" s="169">
        <v>2.7659999999999998E-3</v>
      </c>
      <c r="D42" s="202">
        <f>C42/C$28</f>
        <v>4.1320243629892869E-5</v>
      </c>
      <c r="E42" s="100" t="str">
        <f>CONCATENATE(A42,CHAR(10),TEXT(B42,"#,#")," | ",TEXT(C42,"£0.0"),"M | ")</f>
        <v xml:space="preserve">Adhoc Payments 
40 | £0.0M | </v>
      </c>
      <c r="F42" s="110">
        <f>MROUND(C42*1000000/B42,10)</f>
        <v>70</v>
      </c>
      <c r="G42" s="112"/>
      <c r="H42" s="116"/>
      <c r="I42" s="113"/>
      <c r="J42" s="100"/>
    </row>
    <row r="43" spans="1:10">
      <c r="C43" s="18"/>
    </row>
  </sheetData>
  <hyperlinks>
    <hyperlink ref="G1" location="Contents!A1" display="&gt;&gt; Contents"/>
  </hyperlinks>
  <pageMargins left="0.39370078740157483" right="0.39370078740157483" top="0.39370078740157483" bottom="0.39370078740157483" header="0" footer="0"/>
  <pageSetup paperSize="9" scale="75" fitToHeight="0" orientation="portrait" r:id="rId1"/>
  <headerFooter>
    <oddFooter>&amp;C&amp;"Calibri,Regular"&amp;KFF0000RESTRICTED STATISTICS Not for release until 25 October 2016</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tabColor rgb="FF008080"/>
    <pageSetUpPr fitToPage="1"/>
  </sheetPr>
  <dimension ref="A1:K39"/>
  <sheetViews>
    <sheetView showGridLines="0" workbookViewId="0"/>
  </sheetViews>
  <sheetFormatPr defaultColWidth="10.7109375" defaultRowHeight="15.75"/>
  <cols>
    <col min="1" max="1" width="21.42578125" style="1" customWidth="1"/>
    <col min="2" max="16384" width="10.7109375" style="1"/>
  </cols>
  <sheetData>
    <row r="1" spans="1:11" ht="23.25">
      <c r="A1" s="138" t="str">
        <f>Contents!A1</f>
        <v>Higher Education Student Support in Scotland 2017-18</v>
      </c>
      <c r="B1" s="139"/>
      <c r="C1" s="139"/>
      <c r="D1" s="139"/>
      <c r="E1" s="139"/>
      <c r="F1" s="139"/>
      <c r="G1" s="139"/>
      <c r="H1" s="139"/>
      <c r="I1" s="139"/>
      <c r="J1" s="139"/>
      <c r="K1" s="140" t="s">
        <v>70</v>
      </c>
    </row>
    <row r="2" spans="1:11" ht="18.75">
      <c r="A2" s="60" t="str">
        <f ca="1">CONCATENATE(REPLACE(CELL("Filename",A2),1,FIND("]",CELL("filename",A2)),""),": Nursing and Midwifery support by age and gender")</f>
        <v>Figure 5.2: Nursing and Midwifery support by age and gender</v>
      </c>
      <c r="B2" s="33"/>
      <c r="C2" s="33"/>
      <c r="D2" s="33"/>
      <c r="E2" s="33"/>
      <c r="F2" s="33"/>
      <c r="G2" s="33"/>
      <c r="H2" s="33"/>
      <c r="I2" s="33"/>
      <c r="J2" s="33"/>
      <c r="K2" s="59"/>
    </row>
    <row r="3" spans="1:11">
      <c r="A3" s="172"/>
    </row>
    <row r="26" spans="1:6">
      <c r="A26" s="2" t="s">
        <v>236</v>
      </c>
      <c r="B26" s="1" t="str">
        <f>MID(Contents!$A$1,46,7)</f>
        <v>2017-18</v>
      </c>
    </row>
    <row r="28" spans="1:6" s="52" customFormat="1" hidden="1">
      <c r="A28" s="55" t="s">
        <v>74</v>
      </c>
    </row>
    <row r="29" spans="1:6" hidden="1"/>
    <row r="30" spans="1:6" hidden="1">
      <c r="A30" s="4"/>
      <c r="B30" s="13" t="s">
        <v>29</v>
      </c>
      <c r="C30" s="13" t="s">
        <v>37</v>
      </c>
      <c r="D30" s="13" t="s">
        <v>38</v>
      </c>
    </row>
    <row r="31" spans="1:6" hidden="1">
      <c r="A31" s="196" t="s">
        <v>29</v>
      </c>
      <c r="B31" s="197">
        <f>MROUND(B36,5)</f>
        <v>9015</v>
      </c>
      <c r="C31" s="197">
        <f>MROUND(C36,5)</f>
        <v>8255</v>
      </c>
      <c r="D31" s="197">
        <f>MROUND(D36,5)</f>
        <v>760</v>
      </c>
      <c r="F31" s="295"/>
    </row>
    <row r="32" spans="1:6" hidden="1">
      <c r="A32" s="198" t="s">
        <v>35</v>
      </c>
      <c r="B32" s="48">
        <v>312</v>
      </c>
      <c r="C32" s="48">
        <v>302</v>
      </c>
      <c r="D32" s="48">
        <v>10</v>
      </c>
      <c r="F32" s="295"/>
    </row>
    <row r="33" spans="1:6" hidden="1">
      <c r="A33" s="198" t="s">
        <v>64</v>
      </c>
      <c r="B33" s="48">
        <v>2801</v>
      </c>
      <c r="C33" s="48">
        <v>2659</v>
      </c>
      <c r="D33" s="48">
        <v>142</v>
      </c>
      <c r="E33" s="295">
        <f>(C33+C32)/(B33+B32)</f>
        <v>0.95117250240925155</v>
      </c>
      <c r="F33" s="295"/>
    </row>
    <row r="34" spans="1:6" hidden="1">
      <c r="A34" s="198" t="s">
        <v>65</v>
      </c>
      <c r="B34" s="48">
        <v>2040</v>
      </c>
      <c r="C34" s="48">
        <v>1862</v>
      </c>
      <c r="D34" s="48">
        <v>178</v>
      </c>
      <c r="F34" s="295"/>
    </row>
    <row r="35" spans="1:6" hidden="1">
      <c r="A35" s="199" t="s">
        <v>36</v>
      </c>
      <c r="B35" s="49">
        <v>3861</v>
      </c>
      <c r="C35" s="49">
        <v>3431</v>
      </c>
      <c r="D35" s="49">
        <v>430</v>
      </c>
      <c r="F35" s="295"/>
    </row>
    <row r="36" spans="1:6" hidden="1">
      <c r="B36" s="1">
        <v>9014</v>
      </c>
      <c r="C36" s="1">
        <v>8254</v>
      </c>
      <c r="D36" s="1">
        <v>760</v>
      </c>
    </row>
    <row r="37" spans="1:6" hidden="1">
      <c r="A37" s="1" t="str">
        <f>CONCATENATE("In ",A30,":")</f>
        <v>In :</v>
      </c>
    </row>
    <row r="38" spans="1:6" hidden="1">
      <c r="A38" s="1" t="str">
        <f>CONCATENATE(TEXT(C36/B36,"#.0%")," of supported students are female")</f>
        <v>91.6% of supported students are female</v>
      </c>
    </row>
    <row r="39" spans="1:6" hidden="1">
      <c r="A39" s="1" t="str">
        <f>CONCATENATE(TEXT(D36/B36,"#.0%")," of supported students are male")</f>
        <v>8.4% of supported students are male</v>
      </c>
    </row>
  </sheetData>
  <hyperlinks>
    <hyperlink ref="K1" location="Contents!A1" display="&gt;&gt; Contents"/>
  </hyperlinks>
  <pageMargins left="0.39370078740157483" right="0.39370078740157483" top="0.39370078740157483" bottom="0.39370078740157483" header="0" footer="0"/>
  <pageSetup paperSize="9" scale="75" fitToHeight="0" orientation="portrait" r:id="rId1"/>
  <headerFooter>
    <oddFooter>&amp;C&amp;"Calibri,Regular"&amp;KFF0000RESTRICTED STATISTICS Not for release until 25 October 2016</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rgb="FF81C9BB"/>
    <pageSetUpPr fitToPage="1"/>
  </sheetPr>
  <dimension ref="A1:M44"/>
  <sheetViews>
    <sheetView showGridLines="0" zoomScaleNormal="100" workbookViewId="0"/>
  </sheetViews>
  <sheetFormatPr defaultColWidth="10.7109375" defaultRowHeight="15.75"/>
  <cols>
    <col min="1" max="1" width="21.42578125" style="1" customWidth="1"/>
    <col min="2" max="16384" width="10.7109375" style="1"/>
  </cols>
  <sheetData>
    <row r="1" spans="1:11" ht="23.25">
      <c r="A1" s="138" t="str">
        <f>Contents!A1</f>
        <v>Higher Education Student Support in Scotland 2017-18</v>
      </c>
      <c r="B1" s="139"/>
      <c r="C1" s="139"/>
      <c r="D1" s="139"/>
      <c r="E1" s="139"/>
      <c r="F1" s="139"/>
      <c r="G1" s="139"/>
      <c r="H1" s="139"/>
      <c r="I1" s="139"/>
      <c r="J1" s="139"/>
      <c r="K1" s="140" t="s">
        <v>70</v>
      </c>
    </row>
    <row r="2" spans="1:11" ht="18.75">
      <c r="A2" s="60" t="str">
        <f ca="1">CONCATENATE(REPLACE(CELL("Filename",A2),1,FIND("]",CELL("filename",A2)),""),": Discretionary Fund and Discretionary Childcare Fund support")</f>
        <v>Figure 6.1: Discretionary Fund and Discretionary Childcare Fund support</v>
      </c>
      <c r="B2" s="33"/>
      <c r="C2" s="33"/>
      <c r="D2" s="33"/>
      <c r="E2" s="33"/>
      <c r="F2" s="33"/>
      <c r="G2" s="33"/>
      <c r="H2" s="33"/>
      <c r="I2" s="33"/>
      <c r="J2" s="33"/>
      <c r="K2" s="59"/>
    </row>
    <row r="3" spans="1:11">
      <c r="A3" s="172"/>
    </row>
    <row r="27" spans="1:11">
      <c r="A27" s="2" t="s">
        <v>74</v>
      </c>
    </row>
    <row r="29" spans="1:11">
      <c r="A29" s="56" t="str">
        <f ca="1">'Table 6.1'!A2</f>
        <v>Table 6.1: Discretionary Fund and Discretionary Childcare Fund support</v>
      </c>
    </row>
    <row r="30" spans="1:11">
      <c r="A30" s="61" t="str">
        <f ca="1">HYPERLINK(CONCATENATE("#'",LEFT(A29,SEARCH(":",A29)-1),"'!A3"),"&gt;&gt;")</f>
        <v>&gt;&gt;</v>
      </c>
    </row>
    <row r="32" spans="1:11" hidden="1">
      <c r="A32" s="274" t="s">
        <v>234</v>
      </c>
      <c r="B32" s="274">
        <f t="shared" ref="B32:H32" si="0">C32-1</f>
        <v>-9</v>
      </c>
      <c r="C32" s="274">
        <f t="shared" si="0"/>
        <v>-8</v>
      </c>
      <c r="D32" s="274">
        <f t="shared" si="0"/>
        <v>-7</v>
      </c>
      <c r="E32" s="274">
        <f t="shared" si="0"/>
        <v>-6</v>
      </c>
      <c r="F32" s="274">
        <f t="shared" si="0"/>
        <v>-5</v>
      </c>
      <c r="G32" s="274">
        <f t="shared" si="0"/>
        <v>-4</v>
      </c>
      <c r="H32" s="274">
        <f t="shared" si="0"/>
        <v>-3</v>
      </c>
      <c r="I32" s="274">
        <f>J32-1</f>
        <v>-2</v>
      </c>
      <c r="J32" s="274">
        <f>K32-1</f>
        <v>-1</v>
      </c>
      <c r="K32" s="274">
        <f>'Table A7'!J3</f>
        <v>0</v>
      </c>
    </row>
    <row r="33" spans="1:13" hidden="1">
      <c r="A33" s="30"/>
      <c r="B33" s="32" t="str">
        <f ca="1">OFFSET('Table 6.1'!$M4,0,B32)</f>
        <v>2007-08</v>
      </c>
      <c r="C33" s="32" t="str">
        <f ca="1">OFFSET('Table 6.1'!$M4,0,C32)</f>
        <v>2008-09</v>
      </c>
      <c r="D33" s="32" t="str">
        <f ca="1">OFFSET('Table 6.1'!$M4,0,D32)</f>
        <v>2009-10</v>
      </c>
      <c r="E33" s="32" t="str">
        <f ca="1">OFFSET('Table 6.1'!$M4,0,E32)</f>
        <v>2010-11</v>
      </c>
      <c r="F33" s="32" t="str">
        <f ca="1">OFFSET('Table 6.1'!$M4,0,F32)</f>
        <v>2011-12</v>
      </c>
      <c r="G33" s="32" t="str">
        <f ca="1">OFFSET('Table 6.1'!$M4,0,G32)</f>
        <v>2012-13</v>
      </c>
      <c r="H33" s="32" t="str">
        <f ca="1">OFFSET('Table 6.1'!$M4,0,H32)</f>
        <v>2013-14</v>
      </c>
      <c r="I33" s="32" t="str">
        <f ca="1">OFFSET('Table 6.1'!$M4,0,I32)</f>
        <v>2014-15</v>
      </c>
      <c r="J33" s="32" t="str">
        <f ca="1">OFFSET('Table 6.1'!$M4,0,J32)</f>
        <v>2015-16</v>
      </c>
      <c r="K33" s="32" t="str">
        <f ca="1">OFFSET('Table 6.1'!$M4,0,K32)</f>
        <v>2016-17</v>
      </c>
    </row>
    <row r="34" spans="1:13" hidden="1">
      <c r="A34" s="2" t="str">
        <f>'Table 6.1'!A5</f>
        <v>Discretionary Fund</v>
      </c>
    </row>
    <row r="35" spans="1:13" hidden="1">
      <c r="A35" s="7" t="str">
        <f>'Table 6.1'!A6</f>
        <v>Instances of assistance</v>
      </c>
      <c r="B35" s="177">
        <f ca="1">OFFSET('Table 6.1'!$L6,0,B32)</f>
        <v>10930</v>
      </c>
      <c r="C35" s="177">
        <f ca="1">OFFSET('Table 6.1'!$L6,0,C32)</f>
        <v>15995</v>
      </c>
      <c r="D35" s="177">
        <f ca="1">OFFSET('Table 6.1'!$L6,0,D32)</f>
        <v>16310</v>
      </c>
      <c r="E35" s="177">
        <f ca="1">OFFSET('Table 6.1'!$L6,0,E32)</f>
        <v>18230</v>
      </c>
      <c r="F35" s="177">
        <f ca="1">OFFSET('Table 6.1'!$L6,0,F32)</f>
        <v>18805</v>
      </c>
      <c r="G35" s="177">
        <f ca="1">OFFSET('Table 6.1'!$L6,0,G32)</f>
        <v>17530</v>
      </c>
      <c r="H35" s="177">
        <f ca="1">OFFSET('Table 6.1'!$L6,0,H32)</f>
        <v>17510</v>
      </c>
      <c r="I35" s="177">
        <f ca="1">OFFSET('Table 6.1'!$L6,0,I32)</f>
        <v>14690</v>
      </c>
      <c r="J35" s="177">
        <f ca="1">OFFSET('Table 6.1'!$L6,0,J32)</f>
        <v>13460</v>
      </c>
      <c r="K35" s="177">
        <f ca="1">OFFSET('Table 6.1'!$M6,0,K32)</f>
        <v>15425</v>
      </c>
      <c r="M35" s="18"/>
    </row>
    <row r="36" spans="1:13" hidden="1">
      <c r="A36" s="7" t="s">
        <v>83</v>
      </c>
      <c r="B36" s="177">
        <f ca="1">OFFSET('Table 6.1'!$L7,0,B32)*1000</f>
        <v>6794</v>
      </c>
      <c r="C36" s="177">
        <f ca="1">OFFSET('Table 6.1'!$L7,0,C32)*1000</f>
        <v>11492</v>
      </c>
      <c r="D36" s="177">
        <f ca="1">OFFSET('Table 6.1'!$L7,0,D32)*1000</f>
        <v>12928</v>
      </c>
      <c r="E36" s="177">
        <f ca="1">OFFSET('Table 6.1'!$L7,0,E32)*1000</f>
        <v>12396</v>
      </c>
      <c r="F36" s="177">
        <f ca="1">OFFSET('Table 6.1'!$L7,0,F32)*1000</f>
        <v>13219</v>
      </c>
      <c r="G36" s="177">
        <f ca="1">OFFSET('Table 6.1'!$L7,0,G32)*1000</f>
        <v>14173</v>
      </c>
      <c r="H36" s="177">
        <f ca="1">OFFSET('Table 6.1'!$L7,0,H32)*1000</f>
        <v>13932</v>
      </c>
      <c r="I36" s="177">
        <f ca="1">OFFSET('Table 6.1'!$L7,0,I32)*1000</f>
        <v>13271</v>
      </c>
      <c r="J36" s="177">
        <f ca="1">OFFSET('Table 6.1'!$L7,0,J32)*1000</f>
        <v>13276</v>
      </c>
      <c r="K36" s="177">
        <f ca="1">OFFSET('Table 6.1'!$M7,0,K32)*1000</f>
        <v>13089</v>
      </c>
    </row>
    <row r="37" spans="1:13" hidden="1">
      <c r="A37" s="7"/>
      <c r="B37" s="176"/>
      <c r="C37" s="176"/>
      <c r="D37" s="176"/>
      <c r="E37" s="176"/>
      <c r="F37" s="176"/>
      <c r="G37" s="176"/>
      <c r="H37" s="176"/>
      <c r="I37" s="176"/>
      <c r="J37" s="176"/>
      <c r="K37" s="176"/>
    </row>
    <row r="38" spans="1:13" hidden="1">
      <c r="A38" s="175" t="str">
        <f>'Table 6.1'!A10</f>
        <v>Discretionary Childcare Fund</v>
      </c>
      <c r="B38" s="176"/>
      <c r="C38" s="176"/>
      <c r="D38" s="176"/>
      <c r="E38" s="176"/>
      <c r="F38" s="176"/>
      <c r="G38" s="176"/>
      <c r="H38" s="176"/>
      <c r="I38" s="176"/>
      <c r="J38" s="176"/>
      <c r="K38" s="176"/>
    </row>
    <row r="39" spans="1:13" hidden="1">
      <c r="A39" s="7" t="str">
        <f>'Table 6.1'!A11</f>
        <v>Instances of assistance</v>
      </c>
      <c r="B39" s="177">
        <f ca="1">OFFSET('Table 6.1'!$L11,0,B32)</f>
        <v>5855</v>
      </c>
      <c r="C39" s="177">
        <f ca="1">OFFSET('Table 6.1'!$L11,0,C32)</f>
        <v>1480</v>
      </c>
      <c r="D39" s="177">
        <f ca="1">OFFSET('Table 6.1'!$L11,0,D32)</f>
        <v>1360</v>
      </c>
      <c r="E39" s="177">
        <f ca="1">OFFSET('Table 6.1'!$L11,0,E32)</f>
        <v>1315</v>
      </c>
      <c r="F39" s="177">
        <f ca="1">OFFSET('Table 6.1'!$L11,0,F32)</f>
        <v>1505</v>
      </c>
      <c r="G39" s="177">
        <f ca="1">OFFSET('Table 6.1'!$L11,0,G32)</f>
        <v>840</v>
      </c>
      <c r="H39" s="177">
        <f ca="1">OFFSET('Table 6.1'!$L11,0,H32)</f>
        <v>1015</v>
      </c>
      <c r="I39" s="177">
        <f ca="1">OFFSET('Table 6.1'!$L11,0,I32)</f>
        <v>865</v>
      </c>
      <c r="J39" s="177">
        <f ca="1">OFFSET('Table 6.1'!$L11,0,J32)</f>
        <v>895</v>
      </c>
      <c r="K39" s="177">
        <f ca="1">OFFSET('Table 6.1'!$M11,0,K32)</f>
        <v>870</v>
      </c>
    </row>
    <row r="40" spans="1:13" hidden="1">
      <c r="A40" s="24" t="str">
        <f>A36</f>
        <v>Amounts issued (£000s)</v>
      </c>
      <c r="B40" s="178">
        <f ca="1">OFFSET('Table 6.1'!$L12,0,B32)*1000</f>
        <v>6537</v>
      </c>
      <c r="C40" s="178">
        <f ca="1">OFFSET('Table 6.1'!$L12,0,C32)*1000</f>
        <v>3341</v>
      </c>
      <c r="D40" s="178">
        <f ca="1">OFFSET('Table 6.1'!$L12,0,D32)*1000</f>
        <v>3453</v>
      </c>
      <c r="E40" s="178">
        <f ca="1">OFFSET('Table 6.1'!$L12,0,E32)*1000</f>
        <v>3596</v>
      </c>
      <c r="F40" s="178">
        <f ca="1">OFFSET('Table 6.1'!$L12,0,F32)*1000</f>
        <v>4183</v>
      </c>
      <c r="G40" s="178">
        <f ca="1">OFFSET('Table 6.1'!$L12,0,G32)*1000</f>
        <v>2341</v>
      </c>
      <c r="H40" s="178">
        <f ca="1">OFFSET('Table 6.1'!$L12,0,H32)*1000</f>
        <v>2574</v>
      </c>
      <c r="I40" s="178">
        <f ca="1">OFFSET('Table 6.1'!$L12,0,I32)*1000</f>
        <v>2817</v>
      </c>
      <c r="J40" s="178">
        <f ca="1">OFFSET('Table 6.1'!$L12,0,J32)*1000</f>
        <v>2823</v>
      </c>
      <c r="K40" s="178">
        <f ca="1">OFFSET('Table 6.1'!$M12,0,K32)*1000</f>
        <v>3551</v>
      </c>
    </row>
    <row r="41" spans="1:13" hidden="1"/>
    <row r="44" spans="1:13">
      <c r="A44" s="2"/>
    </row>
  </sheetData>
  <hyperlinks>
    <hyperlink ref="K1" location="Contents!A1" display="&gt;&gt; Contents"/>
  </hyperlinks>
  <pageMargins left="0.39370078740157483" right="0.39370078740157483" top="0.39370078740157483" bottom="0.39370078740157483" header="0" footer="0"/>
  <pageSetup paperSize="9" scale="75" fitToHeight="0" orientation="portrait" r:id="rId1"/>
  <headerFooter>
    <oddFooter>&amp;C&amp;"Calibri,Regular"&amp;KFF0000RESTRICTED STATISTICS Not for release until 25 October 2016</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81C9BB"/>
    <pageSetUpPr fitToPage="1"/>
  </sheetPr>
  <dimension ref="A1:M30"/>
  <sheetViews>
    <sheetView showGridLines="0" workbookViewId="0"/>
  </sheetViews>
  <sheetFormatPr defaultColWidth="10.7109375" defaultRowHeight="15.75"/>
  <cols>
    <col min="1" max="1" width="32.140625" style="1" customWidth="1"/>
    <col min="2" max="3" width="0" style="1" hidden="1" customWidth="1"/>
    <col min="4" max="11" width="10.7109375" style="1"/>
    <col min="12" max="12" width="10.7109375" style="1" customWidth="1"/>
    <col min="13" max="16384" width="10.7109375" style="1"/>
  </cols>
  <sheetData>
    <row r="1" spans="1:13" ht="23.25">
      <c r="A1" s="138" t="str">
        <f>Contents!A1</f>
        <v>Higher Education Student Support in Scotland 2017-18</v>
      </c>
      <c r="B1" s="139"/>
      <c r="C1" s="139"/>
      <c r="D1" s="139"/>
      <c r="E1" s="139"/>
      <c r="F1" s="139"/>
      <c r="G1" s="139"/>
      <c r="H1" s="139"/>
      <c r="I1" s="139"/>
      <c r="J1" s="139"/>
      <c r="K1" s="140"/>
      <c r="L1" s="140"/>
      <c r="M1" s="140" t="s">
        <v>70</v>
      </c>
    </row>
    <row r="2" spans="1:13" ht="18.75">
      <c r="A2" s="60" t="str">
        <f ca="1">CONCATENATE(REPLACE(CELL("Filename",A2),1,FIND("]",CELL("filename",A2)),""),": Discretionary Fund and Discretionary Childcare Fund support")</f>
        <v>Table 6.1: Discretionary Fund and Discretionary Childcare Fund support</v>
      </c>
      <c r="B2" s="33"/>
      <c r="C2" s="33"/>
      <c r="D2" s="33"/>
      <c r="E2" s="33"/>
      <c r="F2" s="33"/>
      <c r="G2" s="33"/>
      <c r="H2" s="33"/>
      <c r="I2" s="33"/>
      <c r="J2" s="33"/>
      <c r="K2" s="59"/>
      <c r="L2" s="59"/>
      <c r="M2" s="59"/>
    </row>
    <row r="3" spans="1:13">
      <c r="A3" s="172"/>
    </row>
    <row r="4" spans="1:13" ht="22.5" customHeight="1">
      <c r="A4" s="4"/>
      <c r="B4" s="13" t="s">
        <v>22</v>
      </c>
      <c r="C4" s="13" t="s">
        <v>23</v>
      </c>
      <c r="D4" s="13" t="s">
        <v>26</v>
      </c>
      <c r="E4" s="13" t="s">
        <v>27</v>
      </c>
      <c r="F4" s="13" t="s">
        <v>28</v>
      </c>
      <c r="G4" s="13" t="s">
        <v>15</v>
      </c>
      <c r="H4" s="13" t="s">
        <v>59</v>
      </c>
      <c r="I4" s="13" t="s">
        <v>1</v>
      </c>
      <c r="J4" s="13" t="s">
        <v>61</v>
      </c>
      <c r="K4" s="13" t="s">
        <v>169</v>
      </c>
      <c r="L4" s="13" t="s">
        <v>233</v>
      </c>
      <c r="M4" s="13" t="s">
        <v>246</v>
      </c>
    </row>
    <row r="5" spans="1:13" ht="18.75" customHeight="1">
      <c r="A5" s="2" t="s">
        <v>78</v>
      </c>
      <c r="B5" s="19"/>
      <c r="C5" s="19"/>
      <c r="D5" s="19"/>
      <c r="E5" s="19"/>
      <c r="F5" s="19"/>
      <c r="G5" s="19"/>
      <c r="H5" s="19"/>
      <c r="I5" s="19"/>
      <c r="J5" s="19"/>
      <c r="K5" s="19"/>
      <c r="L5" s="19"/>
      <c r="M5" s="19"/>
    </row>
    <row r="6" spans="1:13" ht="18.75" customHeight="1">
      <c r="A6" s="21" t="s">
        <v>79</v>
      </c>
      <c r="B6" s="35">
        <v>10775</v>
      </c>
      <c r="C6" s="35">
        <v>10930</v>
      </c>
      <c r="D6" s="35">
        <v>15995</v>
      </c>
      <c r="E6" s="35">
        <v>16310</v>
      </c>
      <c r="F6" s="35">
        <v>18230</v>
      </c>
      <c r="G6" s="35">
        <v>18805</v>
      </c>
      <c r="H6" s="35">
        <v>17530</v>
      </c>
      <c r="I6" s="35">
        <v>17510</v>
      </c>
      <c r="J6" s="35">
        <v>14690</v>
      </c>
      <c r="K6" s="35">
        <v>13460</v>
      </c>
      <c r="L6" s="35">
        <v>13770</v>
      </c>
      <c r="M6" s="35">
        <v>15425</v>
      </c>
    </row>
    <row r="7" spans="1:13" ht="18.75" customHeight="1">
      <c r="A7" s="21" t="s">
        <v>171</v>
      </c>
      <c r="B7" s="160">
        <v>6.415</v>
      </c>
      <c r="C7" s="160">
        <v>6.7939999999999996</v>
      </c>
      <c r="D7" s="160">
        <v>11.492000000000001</v>
      </c>
      <c r="E7" s="160">
        <v>12.928000000000001</v>
      </c>
      <c r="F7" s="160">
        <v>12.396000000000001</v>
      </c>
      <c r="G7" s="160">
        <v>13.218999999999999</v>
      </c>
      <c r="H7" s="160">
        <v>14.173</v>
      </c>
      <c r="I7" s="160">
        <v>13.932</v>
      </c>
      <c r="J7" s="160">
        <v>13.271000000000001</v>
      </c>
      <c r="K7" s="160">
        <v>13.276</v>
      </c>
      <c r="L7" s="160">
        <v>13.34</v>
      </c>
      <c r="M7" s="160">
        <v>13.089</v>
      </c>
    </row>
    <row r="8" spans="1:13" ht="18.75" customHeight="1">
      <c r="A8" s="21" t="s">
        <v>206</v>
      </c>
      <c r="B8" s="35">
        <f>MROUND(B7*1000000/B6,10)</f>
        <v>600</v>
      </c>
      <c r="C8" s="35">
        <f t="shared" ref="C8" si="0">MROUND(C7*1000000/C6,10)</f>
        <v>620</v>
      </c>
      <c r="D8" s="35">
        <v>720</v>
      </c>
      <c r="E8" s="35">
        <v>790</v>
      </c>
      <c r="F8" s="35">
        <v>680</v>
      </c>
      <c r="G8" s="35">
        <v>700</v>
      </c>
      <c r="H8" s="35">
        <v>810</v>
      </c>
      <c r="I8" s="35">
        <v>800</v>
      </c>
      <c r="J8" s="35">
        <v>900</v>
      </c>
      <c r="K8" s="35">
        <v>990</v>
      </c>
      <c r="L8" s="35">
        <v>970</v>
      </c>
      <c r="M8" s="35">
        <v>850</v>
      </c>
    </row>
    <row r="9" spans="1:13" ht="18.75" customHeight="1">
      <c r="B9" s="35"/>
      <c r="C9" s="35"/>
      <c r="D9" s="35"/>
      <c r="E9" s="35"/>
      <c r="F9" s="35"/>
      <c r="G9" s="35"/>
      <c r="H9" s="35"/>
      <c r="I9" s="35"/>
      <c r="J9" s="35"/>
      <c r="K9" s="35"/>
      <c r="L9" s="35"/>
      <c r="M9" s="35"/>
    </row>
    <row r="10" spans="1:13" ht="18.75" customHeight="1">
      <c r="A10" s="2" t="s">
        <v>211</v>
      </c>
      <c r="B10" s="19"/>
      <c r="C10" s="19"/>
      <c r="D10" s="19"/>
      <c r="E10" s="19"/>
      <c r="F10" s="19"/>
      <c r="G10" s="19"/>
      <c r="H10" s="19"/>
      <c r="I10" s="19"/>
      <c r="J10" s="19"/>
      <c r="K10" s="19"/>
      <c r="L10" s="19"/>
      <c r="M10" s="19"/>
    </row>
    <row r="11" spans="1:13" ht="18.75" customHeight="1">
      <c r="A11" s="21" t="s">
        <v>79</v>
      </c>
      <c r="B11" s="35">
        <v>6180</v>
      </c>
      <c r="C11" s="35">
        <v>5855</v>
      </c>
      <c r="D11" s="35">
        <v>1480</v>
      </c>
      <c r="E11" s="35">
        <v>1360</v>
      </c>
      <c r="F11" s="35">
        <v>1315</v>
      </c>
      <c r="G11" s="35">
        <v>1505</v>
      </c>
      <c r="H11" s="35">
        <v>840</v>
      </c>
      <c r="I11" s="35">
        <v>1015</v>
      </c>
      <c r="J11" s="35">
        <v>865</v>
      </c>
      <c r="K11" s="35">
        <v>895</v>
      </c>
      <c r="L11" s="35">
        <v>990</v>
      </c>
      <c r="M11" s="35">
        <v>870</v>
      </c>
    </row>
    <row r="12" spans="1:13" ht="18.75" customHeight="1">
      <c r="A12" s="7" t="s">
        <v>171</v>
      </c>
      <c r="B12" s="149">
        <v>5.899</v>
      </c>
      <c r="C12" s="149">
        <v>6.5369999999999999</v>
      </c>
      <c r="D12" s="149">
        <v>3.3410000000000002</v>
      </c>
      <c r="E12" s="149">
        <v>3.4529999999999998</v>
      </c>
      <c r="F12" s="149">
        <v>3.5960000000000001</v>
      </c>
      <c r="G12" s="149">
        <v>4.1829999999999998</v>
      </c>
      <c r="H12" s="149">
        <v>2.3410000000000002</v>
      </c>
      <c r="I12" s="149">
        <v>2.5739999999999998</v>
      </c>
      <c r="J12" s="149">
        <v>2.8170000000000002</v>
      </c>
      <c r="K12" s="149">
        <v>2.823</v>
      </c>
      <c r="L12" s="149">
        <v>3.33</v>
      </c>
      <c r="M12" s="149">
        <v>3.5510000000000002</v>
      </c>
    </row>
    <row r="13" spans="1:13" ht="18.75" customHeight="1">
      <c r="A13" s="24" t="s">
        <v>206</v>
      </c>
      <c r="B13" s="37">
        <f>MROUND(B12*1000000/B11,10)</f>
        <v>950</v>
      </c>
      <c r="C13" s="37">
        <f t="shared" ref="C13" si="1">MROUND(C12*1000000/C11,10)</f>
        <v>1120</v>
      </c>
      <c r="D13" s="37">
        <v>2260</v>
      </c>
      <c r="E13" s="37">
        <v>2540</v>
      </c>
      <c r="F13" s="37">
        <v>2730</v>
      </c>
      <c r="G13" s="37">
        <v>2780</v>
      </c>
      <c r="H13" s="37">
        <v>2790</v>
      </c>
      <c r="I13" s="37">
        <v>2540</v>
      </c>
      <c r="J13" s="37">
        <v>3260</v>
      </c>
      <c r="K13" s="37">
        <v>3150</v>
      </c>
      <c r="L13" s="37">
        <v>3365</v>
      </c>
      <c r="M13" s="37">
        <v>4080</v>
      </c>
    </row>
    <row r="14" spans="1:13">
      <c r="B14" s="136"/>
      <c r="C14" s="136"/>
      <c r="D14" s="136"/>
      <c r="E14" s="136"/>
      <c r="F14" s="136"/>
      <c r="G14" s="136"/>
      <c r="H14" s="136"/>
      <c r="I14" s="136"/>
      <c r="J14" s="136"/>
      <c r="K14" s="136"/>
      <c r="L14" s="136"/>
      <c r="M14" s="136"/>
    </row>
    <row r="16" spans="1:13">
      <c r="A16" s="2" t="s">
        <v>44</v>
      </c>
    </row>
    <row r="18" spans="1:1">
      <c r="A18" s="5" t="s">
        <v>222</v>
      </c>
    </row>
    <row r="19" spans="1:1">
      <c r="A19" s="5" t="s">
        <v>223</v>
      </c>
    </row>
    <row r="20" spans="1:1">
      <c r="A20" s="5" t="s">
        <v>224</v>
      </c>
    </row>
    <row r="22" spans="1:1">
      <c r="A22" s="26" t="s">
        <v>225</v>
      </c>
    </row>
    <row r="23" spans="1:1">
      <c r="A23" s="26" t="s">
        <v>226</v>
      </c>
    </row>
    <row r="24" spans="1:1">
      <c r="A24" s="26" t="s">
        <v>227</v>
      </c>
    </row>
    <row r="25" spans="1:1">
      <c r="A25" s="26"/>
    </row>
    <row r="26" spans="1:1">
      <c r="A26" s="26" t="s">
        <v>228</v>
      </c>
    </row>
    <row r="27" spans="1:1">
      <c r="A27" s="26" t="s">
        <v>128</v>
      </c>
    </row>
    <row r="28" spans="1:1">
      <c r="A28" s="26" t="s">
        <v>129</v>
      </c>
    </row>
    <row r="29" spans="1:1">
      <c r="A29" s="26"/>
    </row>
    <row r="30" spans="1:1">
      <c r="A30" s="26" t="s">
        <v>271</v>
      </c>
    </row>
  </sheetData>
  <phoneticPr fontId="3" type="noConversion"/>
  <hyperlinks>
    <hyperlink ref="M1" location="Contents!A1" display="&gt;&gt; Contents"/>
  </hyperlinks>
  <pageMargins left="0.39370078740157483" right="0.39370078740157483" top="0.39370078740157483" bottom="0.39370078740157483" header="0" footer="0"/>
  <pageSetup paperSize="9" scale="69" fitToHeight="0" orientation="portrait" r:id="rId1"/>
  <headerFooter>
    <oddFooter>&amp;C&amp;"Calibri,Regular"&amp;KFF0000RESTRICTED STATISTICS Not for release until 25 October 2016</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tabColor rgb="FF81C9BB"/>
    <pageSetUpPr fitToPage="1"/>
  </sheetPr>
  <dimension ref="A1:G19"/>
  <sheetViews>
    <sheetView showGridLines="0" workbookViewId="0"/>
  </sheetViews>
  <sheetFormatPr defaultColWidth="10.7109375" defaultRowHeight="15.75"/>
  <cols>
    <col min="1" max="1" width="53.5703125" style="1" customWidth="1"/>
    <col min="2" max="4" width="14.28515625" style="1" customWidth="1"/>
    <col min="5" max="16384" width="10.7109375" style="1"/>
  </cols>
  <sheetData>
    <row r="1" spans="1:7" ht="23.25">
      <c r="A1" s="138" t="str">
        <f>Contents!A1</f>
        <v>Higher Education Student Support in Scotland 2017-18</v>
      </c>
      <c r="B1" s="139"/>
      <c r="C1" s="139"/>
      <c r="D1" s="139"/>
      <c r="E1" s="139"/>
      <c r="F1" s="139"/>
      <c r="G1" s="140" t="s">
        <v>70</v>
      </c>
    </row>
    <row r="2" spans="1:7" ht="18.75">
      <c r="A2" s="60" t="str">
        <f ca="1">CONCATENATE(REPLACE(CELL("Filename",A2),1,FIND("]",CELL("filename",A2)),""),": Discretionary Fund support by type of support")</f>
        <v>Table 6.2: Discretionary Fund support by type of support</v>
      </c>
      <c r="B2" s="33"/>
      <c r="C2" s="33"/>
      <c r="D2" s="33"/>
      <c r="E2" s="33"/>
      <c r="F2" s="33"/>
      <c r="G2" s="59"/>
    </row>
    <row r="3" spans="1:7">
      <c r="A3" s="172"/>
    </row>
    <row r="4" spans="1:7" ht="47.25">
      <c r="A4" s="4"/>
      <c r="B4" s="130" t="s">
        <v>79</v>
      </c>
      <c r="C4" s="130" t="s">
        <v>172</v>
      </c>
      <c r="D4" s="130" t="s">
        <v>159</v>
      </c>
    </row>
    <row r="5" spans="1:7" ht="18.75" customHeight="1">
      <c r="A5" s="155" t="s">
        <v>29</v>
      </c>
      <c r="B5" s="156">
        <v>15425</v>
      </c>
      <c r="C5" s="173">
        <v>13.089</v>
      </c>
      <c r="D5" s="156">
        <v>850</v>
      </c>
    </row>
    <row r="6" spans="1:7" ht="18.75" customHeight="1">
      <c r="A6" s="71"/>
      <c r="B6" s="35"/>
      <c r="C6" s="160"/>
      <c r="D6" s="35"/>
    </row>
    <row r="7" spans="1:7" ht="18.75" customHeight="1">
      <c r="A7" s="50" t="s">
        <v>155</v>
      </c>
      <c r="B7" s="72">
        <v>15425</v>
      </c>
      <c r="C7" s="174">
        <v>13.089</v>
      </c>
      <c r="D7" s="72">
        <v>850</v>
      </c>
    </row>
    <row r="8" spans="1:7" ht="18.75" customHeight="1">
      <c r="A8" s="21" t="s">
        <v>273</v>
      </c>
      <c r="B8" s="35">
        <v>12025</v>
      </c>
      <c r="C8" s="160">
        <v>11.061999999999999</v>
      </c>
      <c r="D8" s="35">
        <v>920</v>
      </c>
    </row>
    <row r="9" spans="1:7" ht="18.75" customHeight="1">
      <c r="A9" s="21" t="s">
        <v>274</v>
      </c>
      <c r="B9" s="35">
        <v>890</v>
      </c>
      <c r="C9" s="160">
        <v>0.48799999999999999</v>
      </c>
      <c r="D9" s="35">
        <v>550</v>
      </c>
    </row>
    <row r="10" spans="1:7" ht="18.75" customHeight="1">
      <c r="A10" s="21" t="s">
        <v>275</v>
      </c>
      <c r="B10" s="35">
        <v>445</v>
      </c>
      <c r="C10" s="160">
        <v>0.48599999999999999</v>
      </c>
      <c r="D10" s="35">
        <v>1090</v>
      </c>
    </row>
    <row r="11" spans="1:7" ht="18.75" customHeight="1">
      <c r="A11" s="21" t="s">
        <v>154</v>
      </c>
      <c r="B11" s="35">
        <v>150</v>
      </c>
      <c r="C11" s="160">
        <v>0.161</v>
      </c>
      <c r="D11" s="35">
        <v>1070</v>
      </c>
    </row>
    <row r="12" spans="1:7" ht="18.75" customHeight="1">
      <c r="A12" s="21" t="s">
        <v>160</v>
      </c>
      <c r="B12" s="35">
        <v>25</v>
      </c>
      <c r="C12" s="160">
        <v>6.0000000000000001E-3</v>
      </c>
      <c r="D12" s="35">
        <v>240</v>
      </c>
    </row>
    <row r="13" spans="1:7" ht="18.75" customHeight="1">
      <c r="A13" s="21" t="s">
        <v>156</v>
      </c>
      <c r="B13" s="35">
        <v>1770</v>
      </c>
      <c r="C13" s="160">
        <v>0.44600000000000001</v>
      </c>
      <c r="D13" s="35">
        <v>250</v>
      </c>
    </row>
    <row r="14" spans="1:7" ht="18.75" customHeight="1">
      <c r="A14" s="21" t="s">
        <v>157</v>
      </c>
      <c r="B14" s="35">
        <v>1355</v>
      </c>
      <c r="C14" s="160">
        <v>0.156</v>
      </c>
      <c r="D14" s="35">
        <v>120</v>
      </c>
    </row>
    <row r="15" spans="1:7" ht="18.75" customHeight="1">
      <c r="A15" s="109"/>
      <c r="B15" s="11"/>
      <c r="C15" s="149"/>
      <c r="D15" s="11"/>
    </row>
    <row r="16" spans="1:7" ht="18.75" customHeight="1">
      <c r="A16" s="157" t="s">
        <v>158</v>
      </c>
      <c r="B16" s="183" t="s">
        <v>232</v>
      </c>
      <c r="C16" s="275">
        <v>0.28399999999999997</v>
      </c>
      <c r="D16" s="183" t="s">
        <v>232</v>
      </c>
    </row>
    <row r="19" spans="1:2">
      <c r="A19" s="2" t="s">
        <v>236</v>
      </c>
      <c r="B19" s="1" t="str">
        <f>CONCATENATE(MID(Contents!$A$1,46,4)-1,"-",RIGHT(Contents!$A$1,2)-1)</f>
        <v>2016-17</v>
      </c>
    </row>
  </sheetData>
  <hyperlinks>
    <hyperlink ref="G1" location="Contents!A1" display="&gt;&gt; Contents"/>
  </hyperlinks>
  <pageMargins left="0.39370078740157483" right="0.39370078740157483" top="0.39370078740157483" bottom="0.39370078740157483" header="0" footer="0"/>
  <pageSetup paperSize="9" scale="75" fitToHeight="0" orientation="portrait" r:id="rId1"/>
  <headerFooter>
    <oddFooter>&amp;C&amp;"Calibri,Regular"&amp;KFF0000RESTRICTED STATISTICS Not for release until 25 October 2016</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2060"/>
    <pageSetUpPr fitToPage="1"/>
  </sheetPr>
  <dimension ref="A1:T41"/>
  <sheetViews>
    <sheetView showGridLines="0" zoomScaleNormal="100" workbookViewId="0"/>
  </sheetViews>
  <sheetFormatPr defaultRowHeight="15.75"/>
  <cols>
    <col min="1" max="1" width="21.42578125" style="1" customWidth="1"/>
    <col min="2" max="3" width="10.7109375" style="1" hidden="1" customWidth="1"/>
    <col min="4" max="14" width="10.7109375" style="1" customWidth="1"/>
    <col min="15" max="15" width="10.7109375" style="91" customWidth="1"/>
    <col min="16" max="16" width="10.7109375" style="92" customWidth="1"/>
    <col min="17" max="17" width="10.7109375" style="91" customWidth="1"/>
    <col min="18" max="19" width="10.7109375" style="1" customWidth="1"/>
    <col min="20" max="20" width="10.140625" style="1" bestFit="1" customWidth="1"/>
    <col min="21" max="16384" width="9.140625" style="1"/>
  </cols>
  <sheetData>
    <row r="1" spans="1:18" ht="23.25">
      <c r="A1" s="138" t="str">
        <f>Contents!A1</f>
        <v>Higher Education Student Support in Scotland 2017-18</v>
      </c>
      <c r="B1" s="139"/>
      <c r="C1" s="139"/>
      <c r="D1" s="139"/>
      <c r="E1" s="139"/>
      <c r="F1" s="139"/>
      <c r="G1" s="139"/>
      <c r="H1" s="139"/>
      <c r="I1" s="139"/>
      <c r="J1" s="139"/>
      <c r="K1" s="140"/>
      <c r="L1" s="140"/>
      <c r="M1" s="140" t="s">
        <v>70</v>
      </c>
      <c r="P1" s="91"/>
    </row>
    <row r="2" spans="1:18" ht="18.75">
      <c r="A2" s="60" t="str">
        <f ca="1">CONCATENATE(REPLACE(CELL("Filename",A2),1,FIND("]",CELL("filename",A2)),""),": Full-time students type of support provided")</f>
        <v>Table A1: Full-time students type of support provided</v>
      </c>
      <c r="B2" s="33"/>
      <c r="C2" s="33"/>
      <c r="D2" s="33"/>
      <c r="E2" s="33"/>
      <c r="F2" s="33"/>
      <c r="G2" s="33"/>
      <c r="H2" s="33"/>
      <c r="I2" s="33"/>
      <c r="J2" s="33"/>
      <c r="K2" s="59"/>
      <c r="L2" s="59"/>
      <c r="M2" s="59"/>
    </row>
    <row r="3" spans="1:18">
      <c r="A3" s="172"/>
    </row>
    <row r="4" spans="1:18" ht="22.5" customHeight="1">
      <c r="A4" s="67"/>
      <c r="B4" s="13" t="s">
        <v>23</v>
      </c>
      <c r="C4" s="13" t="s">
        <v>24</v>
      </c>
      <c r="D4" s="13" t="s">
        <v>27</v>
      </c>
      <c r="E4" s="13" t="s">
        <v>28</v>
      </c>
      <c r="F4" s="13" t="s">
        <v>15</v>
      </c>
      <c r="G4" s="13" t="s">
        <v>59</v>
      </c>
      <c r="H4" s="13" t="s">
        <v>1</v>
      </c>
      <c r="I4" s="13" t="s">
        <v>61</v>
      </c>
      <c r="J4" s="13" t="s">
        <v>169</v>
      </c>
      <c r="K4" s="13" t="s">
        <v>233</v>
      </c>
      <c r="L4" s="13" t="s">
        <v>246</v>
      </c>
      <c r="M4" s="13" t="s">
        <v>253</v>
      </c>
      <c r="O4" s="93"/>
      <c r="P4" s="330"/>
      <c r="Q4" s="330"/>
      <c r="R4" s="93"/>
    </row>
    <row r="5" spans="1:18" ht="18.75" customHeight="1">
      <c r="A5" s="68" t="s">
        <v>20</v>
      </c>
      <c r="B5" s="43"/>
      <c r="C5" s="43"/>
      <c r="D5" s="43"/>
      <c r="E5" s="43"/>
      <c r="F5" s="43"/>
      <c r="G5" s="43"/>
      <c r="H5" s="43"/>
      <c r="I5" s="43"/>
      <c r="J5" s="43"/>
      <c r="K5" s="43"/>
      <c r="L5" s="43"/>
      <c r="M5" s="43"/>
      <c r="O5" s="92"/>
      <c r="P5" s="91"/>
    </row>
    <row r="6" spans="1:18" ht="18.75" customHeight="1">
      <c r="A6" s="42" t="s">
        <v>77</v>
      </c>
      <c r="B6" s="43">
        <v>120525</v>
      </c>
      <c r="C6" s="43">
        <v>121235</v>
      </c>
      <c r="D6" s="43">
        <v>124845</v>
      </c>
      <c r="E6" s="43">
        <v>130680</v>
      </c>
      <c r="F6" s="43">
        <v>133175</v>
      </c>
      <c r="G6" s="43">
        <v>133990</v>
      </c>
      <c r="H6" s="43">
        <v>135375</v>
      </c>
      <c r="I6" s="43">
        <v>137270</v>
      </c>
      <c r="J6" s="43">
        <v>139370</v>
      </c>
      <c r="K6" s="43">
        <v>141235</v>
      </c>
      <c r="L6" s="43">
        <v>143500</v>
      </c>
      <c r="M6" s="43">
        <v>147920</v>
      </c>
      <c r="N6" s="136"/>
      <c r="O6" s="94"/>
      <c r="P6" s="95"/>
      <c r="Q6" s="96"/>
      <c r="R6" s="94"/>
    </row>
    <row r="7" spans="1:18" ht="18.75" customHeight="1">
      <c r="A7" s="42" t="s">
        <v>130</v>
      </c>
      <c r="B7" s="90">
        <v>417.51100000000002</v>
      </c>
      <c r="C7" s="90">
        <v>423.64800000000002</v>
      </c>
      <c r="D7" s="90">
        <v>482.56700000000001</v>
      </c>
      <c r="E7" s="90">
        <v>522.38599999999997</v>
      </c>
      <c r="F7" s="90">
        <v>571.851</v>
      </c>
      <c r="G7" s="90">
        <v>570.30799999999999</v>
      </c>
      <c r="H7" s="90">
        <v>584.33299999999997</v>
      </c>
      <c r="I7" s="90">
        <v>734.68700000000001</v>
      </c>
      <c r="J7" s="90">
        <v>781.25900000000001</v>
      </c>
      <c r="K7" s="90">
        <v>813.33323199999995</v>
      </c>
      <c r="L7" s="90">
        <v>844.681646</v>
      </c>
      <c r="M7" s="90">
        <v>882.72776399999998</v>
      </c>
      <c r="N7" s="136"/>
      <c r="O7" s="94"/>
      <c r="P7" s="95"/>
      <c r="Q7" s="96"/>
      <c r="R7" s="94"/>
    </row>
    <row r="8" spans="1:18" ht="18.75" customHeight="1">
      <c r="A8" s="42" t="s">
        <v>46</v>
      </c>
      <c r="B8" s="43">
        <f>MROUND(B7*1000000/B6,10)</f>
        <v>3460</v>
      </c>
      <c r="C8" s="43">
        <f t="shared" ref="C8" si="0">MROUND(C7*1000000/C6,10)</f>
        <v>3490</v>
      </c>
      <c r="D8" s="43">
        <v>3870</v>
      </c>
      <c r="E8" s="43">
        <v>4000</v>
      </c>
      <c r="F8" s="43">
        <v>4290</v>
      </c>
      <c r="G8" s="43">
        <v>4260</v>
      </c>
      <c r="H8" s="43">
        <v>4320</v>
      </c>
      <c r="I8" s="43">
        <v>5350</v>
      </c>
      <c r="J8" s="43">
        <v>5610</v>
      </c>
      <c r="K8" s="43">
        <v>5760</v>
      </c>
      <c r="L8" s="43">
        <v>5890</v>
      </c>
      <c r="M8" s="43">
        <v>5970</v>
      </c>
      <c r="O8" s="94"/>
      <c r="P8" s="95"/>
      <c r="Q8" s="96"/>
      <c r="R8" s="94"/>
    </row>
    <row r="9" spans="1:18" ht="18.75" customHeight="1">
      <c r="A9" s="42"/>
      <c r="B9" s="43"/>
      <c r="C9" s="43"/>
      <c r="D9" s="43"/>
      <c r="E9" s="43"/>
      <c r="F9" s="43"/>
      <c r="G9" s="43"/>
      <c r="H9" s="43"/>
      <c r="I9" s="43"/>
      <c r="J9" s="43"/>
      <c r="K9" s="43"/>
      <c r="L9" s="43"/>
      <c r="M9" s="43"/>
      <c r="O9" s="94"/>
      <c r="P9" s="95"/>
      <c r="Q9" s="96"/>
    </row>
    <row r="10" spans="1:18" ht="18.75" customHeight="1">
      <c r="A10" s="68" t="s">
        <v>209</v>
      </c>
      <c r="B10" s="43"/>
      <c r="C10" s="43"/>
      <c r="D10" s="43"/>
      <c r="E10" s="43"/>
      <c r="F10" s="43"/>
      <c r="G10" s="43"/>
      <c r="H10" s="43"/>
      <c r="I10" s="43"/>
      <c r="J10" s="43"/>
      <c r="K10" s="43"/>
      <c r="L10" s="43"/>
      <c r="M10" s="43"/>
      <c r="O10" s="92"/>
      <c r="P10" s="91"/>
    </row>
    <row r="11" spans="1:18" ht="18.75" customHeight="1">
      <c r="A11" s="42" t="s">
        <v>77</v>
      </c>
      <c r="B11" s="43">
        <v>97000</v>
      </c>
      <c r="C11" s="43">
        <v>96230</v>
      </c>
      <c r="D11" s="43">
        <v>91690</v>
      </c>
      <c r="E11" s="43">
        <v>94545</v>
      </c>
      <c r="F11" s="43">
        <v>95850</v>
      </c>
      <c r="G11" s="43">
        <v>93910</v>
      </c>
      <c r="H11" s="43">
        <v>93910</v>
      </c>
      <c r="I11" s="43">
        <v>97515</v>
      </c>
      <c r="J11" s="43">
        <v>99975</v>
      </c>
      <c r="K11" s="43">
        <v>103705</v>
      </c>
      <c r="L11" s="43">
        <v>107720</v>
      </c>
      <c r="M11" s="43">
        <v>111095</v>
      </c>
      <c r="N11" s="136"/>
      <c r="O11" s="94"/>
      <c r="P11" s="95"/>
      <c r="Q11" s="96"/>
      <c r="R11" s="94"/>
    </row>
    <row r="12" spans="1:18" ht="18.75" customHeight="1">
      <c r="A12" s="42" t="s">
        <v>130</v>
      </c>
      <c r="B12" s="90">
        <v>288.49900000000002</v>
      </c>
      <c r="C12" s="90">
        <v>291.53100000000001</v>
      </c>
      <c r="D12" s="90">
        <v>291.92899999999997</v>
      </c>
      <c r="E12" s="90">
        <v>308.64999999999998</v>
      </c>
      <c r="F12" s="90">
        <v>351.02100000000002</v>
      </c>
      <c r="G12" s="90">
        <v>347.34100000000001</v>
      </c>
      <c r="H12" s="90">
        <v>354.85399999999998</v>
      </c>
      <c r="I12" s="90">
        <v>494.46300000000002</v>
      </c>
      <c r="J12" s="90">
        <v>532.47</v>
      </c>
      <c r="K12" s="90">
        <v>559.29455800000005</v>
      </c>
      <c r="L12" s="90">
        <v>585.64026200000001</v>
      </c>
      <c r="M12" s="90">
        <v>604.68531599999994</v>
      </c>
      <c r="N12" s="136"/>
      <c r="O12" s="94"/>
      <c r="P12" s="95"/>
      <c r="Q12" s="96"/>
      <c r="R12" s="94"/>
    </row>
    <row r="13" spans="1:18" ht="18.75" customHeight="1">
      <c r="A13" s="16" t="s">
        <v>46</v>
      </c>
      <c r="B13" s="17">
        <f t="shared" ref="B13:C13" si="1">MROUND(B12*1000000/B11,10)</f>
        <v>2970</v>
      </c>
      <c r="C13" s="17">
        <f t="shared" si="1"/>
        <v>3030</v>
      </c>
      <c r="D13" s="17">
        <v>3180</v>
      </c>
      <c r="E13" s="17">
        <v>3260</v>
      </c>
      <c r="F13" s="17">
        <v>3660</v>
      </c>
      <c r="G13" s="17">
        <v>3700</v>
      </c>
      <c r="H13" s="17">
        <v>3780</v>
      </c>
      <c r="I13" s="17">
        <v>5070</v>
      </c>
      <c r="J13" s="17">
        <v>5330</v>
      </c>
      <c r="K13" s="17">
        <v>5390</v>
      </c>
      <c r="L13" s="17">
        <v>5440</v>
      </c>
      <c r="M13" s="17">
        <v>5440</v>
      </c>
      <c r="O13" s="94"/>
      <c r="P13" s="95"/>
      <c r="Q13" s="96"/>
      <c r="R13" s="94"/>
    </row>
    <row r="14" spans="1:18" ht="18.75" customHeight="1">
      <c r="A14" s="9"/>
      <c r="B14" s="136"/>
      <c r="C14" s="136"/>
      <c r="D14" s="136"/>
      <c r="E14" s="136"/>
      <c r="F14" s="136"/>
      <c r="G14" s="136"/>
      <c r="H14" s="136"/>
      <c r="I14" s="136"/>
      <c r="J14" s="107"/>
      <c r="K14" s="107"/>
      <c r="L14" s="136"/>
      <c r="M14" s="107"/>
      <c r="O14" s="92"/>
    </row>
    <row r="15" spans="1:18" s="20" customFormat="1" ht="18.75" customHeight="1">
      <c r="A15" s="69" t="s">
        <v>161</v>
      </c>
      <c r="B15" s="19"/>
      <c r="C15" s="36"/>
      <c r="D15" s="36"/>
      <c r="E15" s="36"/>
      <c r="F15" s="36"/>
      <c r="G15" s="36"/>
      <c r="H15" s="36"/>
      <c r="I15" s="36"/>
      <c r="J15" s="36"/>
      <c r="K15" s="36"/>
      <c r="L15" s="36"/>
      <c r="M15" s="36"/>
      <c r="N15" s="46"/>
      <c r="O15" s="97"/>
      <c r="P15" s="98"/>
      <c r="Q15" s="98"/>
    </row>
    <row r="16" spans="1:18" ht="18.75" customHeight="1">
      <c r="A16" s="7" t="s">
        <v>77</v>
      </c>
      <c r="B16" s="22">
        <v>57825</v>
      </c>
      <c r="C16" s="22">
        <v>58750</v>
      </c>
      <c r="D16" s="22">
        <v>57590</v>
      </c>
      <c r="E16" s="22">
        <v>60870</v>
      </c>
      <c r="F16" s="22">
        <v>68960</v>
      </c>
      <c r="G16" s="22">
        <v>55685</v>
      </c>
      <c r="H16" s="22">
        <v>54130</v>
      </c>
      <c r="I16" s="22">
        <v>53435</v>
      </c>
      <c r="J16" s="22">
        <v>52315</v>
      </c>
      <c r="K16" s="22">
        <v>49815</v>
      </c>
      <c r="L16" s="22">
        <v>52165</v>
      </c>
      <c r="M16" s="22">
        <v>53620</v>
      </c>
      <c r="O16" s="94"/>
      <c r="P16" s="95"/>
      <c r="Q16" s="96"/>
      <c r="R16" s="94"/>
    </row>
    <row r="17" spans="1:18" ht="18.75" customHeight="1">
      <c r="A17" s="7" t="s">
        <v>130</v>
      </c>
      <c r="B17" s="89">
        <v>80.087000000000003</v>
      </c>
      <c r="C17" s="89">
        <v>99.825000000000003</v>
      </c>
      <c r="D17" s="89">
        <v>104.97499999999999</v>
      </c>
      <c r="E17" s="89">
        <v>111.47499999999999</v>
      </c>
      <c r="F17" s="89">
        <v>127.672</v>
      </c>
      <c r="G17" s="89">
        <v>103.435</v>
      </c>
      <c r="H17" s="89">
        <v>100.57299999999999</v>
      </c>
      <c r="I17" s="89">
        <v>64.876999999999995</v>
      </c>
      <c r="J17" s="89">
        <v>63.624000000000002</v>
      </c>
      <c r="K17" s="89">
        <v>66.138467000000006</v>
      </c>
      <c r="L17" s="89">
        <v>70.093338000000003</v>
      </c>
      <c r="M17" s="89">
        <v>76.328935000000001</v>
      </c>
      <c r="N17" s="126"/>
      <c r="O17" s="94"/>
      <c r="P17" s="95"/>
      <c r="Q17" s="96"/>
      <c r="R17" s="94"/>
    </row>
    <row r="18" spans="1:18" ht="18.75" customHeight="1">
      <c r="A18" s="7" t="s">
        <v>46</v>
      </c>
      <c r="B18" s="22">
        <f>MROUND(B17*1000000/B16,10)</f>
        <v>1380</v>
      </c>
      <c r="C18" s="22">
        <f t="shared" ref="C18" si="2">MROUND(C17*1000000/C16,10)</f>
        <v>1700</v>
      </c>
      <c r="D18" s="22">
        <v>1820</v>
      </c>
      <c r="E18" s="22">
        <v>1830</v>
      </c>
      <c r="F18" s="22">
        <v>1850</v>
      </c>
      <c r="G18" s="22">
        <v>1860</v>
      </c>
      <c r="H18" s="22">
        <v>1860</v>
      </c>
      <c r="I18" s="22">
        <v>1210</v>
      </c>
      <c r="J18" s="22">
        <v>1220</v>
      </c>
      <c r="K18" s="22">
        <v>1330</v>
      </c>
      <c r="L18" s="22">
        <v>1340</v>
      </c>
      <c r="M18" s="22">
        <v>1420</v>
      </c>
      <c r="O18" s="94"/>
      <c r="P18" s="95"/>
      <c r="Q18" s="96"/>
      <c r="R18" s="94"/>
    </row>
    <row r="19" spans="1:18" ht="18.75" customHeight="1">
      <c r="A19" s="303" t="s">
        <v>41</v>
      </c>
      <c r="B19" s="136"/>
      <c r="C19" s="136"/>
      <c r="D19" s="136"/>
      <c r="E19" s="136"/>
      <c r="F19" s="136"/>
      <c r="G19" s="136"/>
      <c r="H19" s="136"/>
      <c r="I19" s="136"/>
      <c r="J19" s="107"/>
      <c r="K19" s="107"/>
      <c r="L19" s="136"/>
      <c r="M19" s="107"/>
      <c r="O19" s="92"/>
    </row>
    <row r="20" spans="1:18" ht="18.75" customHeight="1">
      <c r="A20" s="69" t="s">
        <v>265</v>
      </c>
      <c r="B20" s="22"/>
      <c r="C20" s="22"/>
      <c r="D20" s="22"/>
      <c r="E20" s="22"/>
      <c r="F20" s="22"/>
      <c r="G20" s="22"/>
      <c r="H20" s="22"/>
      <c r="I20" s="22"/>
      <c r="J20" s="22"/>
      <c r="K20" s="22"/>
      <c r="L20" s="22"/>
      <c r="M20" s="22"/>
      <c r="O20" s="92"/>
    </row>
    <row r="21" spans="1:18" ht="18.75" customHeight="1">
      <c r="A21" s="7" t="s">
        <v>77</v>
      </c>
      <c r="B21" s="22">
        <v>109955</v>
      </c>
      <c r="C21" s="22">
        <v>110340</v>
      </c>
      <c r="D21" s="22">
        <v>118055</v>
      </c>
      <c r="E21" s="22">
        <v>124340</v>
      </c>
      <c r="F21" s="22">
        <v>126630</v>
      </c>
      <c r="G21" s="22">
        <v>125790</v>
      </c>
      <c r="H21" s="22">
        <v>127090</v>
      </c>
      <c r="I21" s="22">
        <v>130990</v>
      </c>
      <c r="J21" s="22">
        <v>133460</v>
      </c>
      <c r="K21" s="22">
        <v>134760</v>
      </c>
      <c r="L21" s="22">
        <v>136385</v>
      </c>
      <c r="M21" s="22">
        <v>140240</v>
      </c>
      <c r="N21" s="295"/>
      <c r="O21" s="94"/>
      <c r="P21" s="95"/>
      <c r="Q21" s="96"/>
      <c r="R21" s="94"/>
    </row>
    <row r="22" spans="1:18" ht="18.75" customHeight="1">
      <c r="A22" s="7" t="s">
        <v>130</v>
      </c>
      <c r="B22" s="89">
        <v>129.01300000000001</v>
      </c>
      <c r="C22" s="89">
        <v>132.11699999999999</v>
      </c>
      <c r="D22" s="89">
        <v>190.63800000000001</v>
      </c>
      <c r="E22" s="89">
        <v>213.73699999999999</v>
      </c>
      <c r="F22" s="89">
        <v>220.83</v>
      </c>
      <c r="G22" s="89">
        <v>222.96700000000001</v>
      </c>
      <c r="H22" s="89">
        <v>229.47900000000001</v>
      </c>
      <c r="I22" s="89">
        <v>240.745</v>
      </c>
      <c r="J22" s="89">
        <v>248.97399999999999</v>
      </c>
      <c r="K22" s="89">
        <v>254.04100700000001</v>
      </c>
      <c r="L22" s="89">
        <v>259.04138399999999</v>
      </c>
      <c r="M22" s="89">
        <v>278.04942299999999</v>
      </c>
      <c r="N22" s="126"/>
      <c r="O22" s="94"/>
      <c r="P22" s="95"/>
      <c r="Q22" s="96"/>
      <c r="R22" s="94"/>
    </row>
    <row r="23" spans="1:18" ht="18.75" customHeight="1">
      <c r="A23" s="7" t="s">
        <v>46</v>
      </c>
      <c r="B23" s="22">
        <f>MROUND(B22*1000000/B21,10)</f>
        <v>1170</v>
      </c>
      <c r="C23" s="22">
        <f t="shared" ref="C23" si="3">MROUND(C22*1000000/C21,10)</f>
        <v>1200</v>
      </c>
      <c r="D23" s="22">
        <v>1610</v>
      </c>
      <c r="E23" s="22">
        <v>1720</v>
      </c>
      <c r="F23" s="22">
        <v>1740</v>
      </c>
      <c r="G23" s="22">
        <v>1770</v>
      </c>
      <c r="H23" s="22">
        <v>1810</v>
      </c>
      <c r="I23" s="22">
        <v>1840</v>
      </c>
      <c r="J23" s="22">
        <v>1870</v>
      </c>
      <c r="K23" s="22">
        <v>1890</v>
      </c>
      <c r="L23" s="22">
        <v>1900</v>
      </c>
      <c r="M23" s="22">
        <v>1980</v>
      </c>
      <c r="O23" s="94"/>
      <c r="P23" s="95"/>
      <c r="Q23" s="96"/>
      <c r="R23" s="94"/>
    </row>
    <row r="24" spans="1:18" ht="18.75" customHeight="1">
      <c r="A24" s="9"/>
      <c r="B24" s="136"/>
      <c r="C24" s="136"/>
      <c r="D24" s="136"/>
      <c r="E24" s="136"/>
      <c r="F24" s="136"/>
      <c r="G24" s="136"/>
      <c r="H24" s="136"/>
      <c r="I24" s="136"/>
      <c r="J24" s="107"/>
      <c r="K24" s="107"/>
      <c r="L24" s="136"/>
      <c r="M24" s="107"/>
      <c r="O24" s="92"/>
    </row>
    <row r="25" spans="1:18" ht="18.75" customHeight="1">
      <c r="A25" s="69" t="s">
        <v>42</v>
      </c>
      <c r="B25" s="22"/>
      <c r="C25" s="22"/>
      <c r="D25" s="22"/>
      <c r="E25" s="22"/>
      <c r="F25" s="22"/>
      <c r="G25" s="22"/>
      <c r="H25" s="22"/>
      <c r="I25" s="22"/>
      <c r="J25" s="22"/>
      <c r="K25" s="22"/>
      <c r="L25" s="22"/>
      <c r="M25" s="22"/>
      <c r="O25" s="92"/>
    </row>
    <row r="26" spans="1:18" ht="18.75" customHeight="1">
      <c r="A26" s="7" t="s">
        <v>77</v>
      </c>
      <c r="B26" s="22">
        <v>86440</v>
      </c>
      <c r="C26" s="22">
        <v>84065</v>
      </c>
      <c r="D26" s="22">
        <v>77170</v>
      </c>
      <c r="E26" s="22">
        <v>79075</v>
      </c>
      <c r="F26" s="22">
        <v>79395</v>
      </c>
      <c r="G26" s="22">
        <v>80875</v>
      </c>
      <c r="H26" s="22">
        <v>81640</v>
      </c>
      <c r="I26" s="22">
        <v>85655</v>
      </c>
      <c r="J26" s="22">
        <v>88985</v>
      </c>
      <c r="K26" s="22">
        <v>93530</v>
      </c>
      <c r="L26" s="22">
        <v>97550</v>
      </c>
      <c r="M26" s="22">
        <v>99895</v>
      </c>
      <c r="O26" s="94"/>
      <c r="P26" s="95"/>
      <c r="Q26" s="96"/>
      <c r="R26" s="94"/>
    </row>
    <row r="27" spans="1:18" ht="18.75" customHeight="1">
      <c r="A27" s="7" t="s">
        <v>130</v>
      </c>
      <c r="B27" s="89">
        <v>208.41200000000001</v>
      </c>
      <c r="C27" s="89">
        <v>191.70699999999999</v>
      </c>
      <c r="D27" s="89">
        <v>186.95400000000001</v>
      </c>
      <c r="E27" s="89">
        <v>197.17400000000001</v>
      </c>
      <c r="F27" s="89">
        <v>223.34899999999999</v>
      </c>
      <c r="G27" s="89">
        <v>243.90600000000001</v>
      </c>
      <c r="H27" s="89">
        <v>254.28</v>
      </c>
      <c r="I27" s="89">
        <v>429.58699999999999</v>
      </c>
      <c r="J27" s="89">
        <v>468.846</v>
      </c>
      <c r="K27" s="89">
        <v>493.156091</v>
      </c>
      <c r="L27" s="89">
        <v>515.54629399999999</v>
      </c>
      <c r="M27" s="89">
        <v>528.35638100000006</v>
      </c>
      <c r="N27" s="126"/>
      <c r="O27" s="94"/>
      <c r="P27" s="95"/>
      <c r="Q27" s="96"/>
      <c r="R27" s="94"/>
    </row>
    <row r="28" spans="1:18" ht="18.75" customHeight="1">
      <c r="A28" s="70" t="s">
        <v>46</v>
      </c>
      <c r="B28" s="23">
        <f>MROUND(B27*1000000/B26,10)</f>
        <v>2410</v>
      </c>
      <c r="C28" s="23">
        <f t="shared" ref="C28" si="4">MROUND(C27*1000000/C26,10)</f>
        <v>2280</v>
      </c>
      <c r="D28" s="23">
        <v>2420</v>
      </c>
      <c r="E28" s="23">
        <v>2490</v>
      </c>
      <c r="F28" s="23">
        <v>2810</v>
      </c>
      <c r="G28" s="23">
        <v>3020</v>
      </c>
      <c r="H28" s="23">
        <v>3110</v>
      </c>
      <c r="I28" s="23">
        <v>5020</v>
      </c>
      <c r="J28" s="23">
        <v>5270</v>
      </c>
      <c r="K28" s="23">
        <v>5270</v>
      </c>
      <c r="L28" s="23">
        <v>5280</v>
      </c>
      <c r="M28" s="23">
        <v>5290</v>
      </c>
      <c r="O28" s="94"/>
      <c r="P28" s="95"/>
      <c r="Q28" s="96"/>
      <c r="R28" s="94"/>
    </row>
    <row r="29" spans="1:18" ht="18.75" customHeight="1">
      <c r="A29" s="9"/>
      <c r="B29" s="107"/>
      <c r="C29" s="107"/>
      <c r="D29" s="107"/>
      <c r="E29" s="107"/>
      <c r="F29" s="107"/>
      <c r="G29" s="107"/>
      <c r="H29" s="107"/>
      <c r="I29" s="107"/>
      <c r="J29" s="107"/>
      <c r="K29" s="319"/>
      <c r="L29" s="107"/>
      <c r="M29" s="107"/>
      <c r="O29" s="92"/>
    </row>
    <row r="30" spans="1:18" ht="18.75" customHeight="1">
      <c r="A30" s="69" t="s">
        <v>280</v>
      </c>
      <c r="B30" s="22"/>
      <c r="C30" s="22"/>
      <c r="D30" s="22"/>
      <c r="E30" s="22"/>
      <c r="F30" s="22"/>
      <c r="G30" s="22"/>
      <c r="H30" s="22"/>
      <c r="I30" s="22"/>
      <c r="J30" s="22"/>
      <c r="K30" s="22"/>
      <c r="L30" s="22"/>
      <c r="M30" s="22"/>
      <c r="O30" s="92"/>
    </row>
    <row r="31" spans="1:18" ht="18.75" hidden="1" customHeight="1">
      <c r="A31" s="7" t="s">
        <v>170</v>
      </c>
      <c r="B31" s="171">
        <v>81.385000000000005</v>
      </c>
      <c r="C31" s="171">
        <v>83.557000000000002</v>
      </c>
      <c r="D31" s="171">
        <v>86.639099999999999</v>
      </c>
      <c r="E31" s="171">
        <v>87.866100000000003</v>
      </c>
      <c r="F31" s="171">
        <v>89.501099999999994</v>
      </c>
      <c r="G31" s="171">
        <v>90.677800000000005</v>
      </c>
      <c r="H31" s="171">
        <v>92.503299999999996</v>
      </c>
      <c r="I31" s="171">
        <v>94.200400000000002</v>
      </c>
      <c r="J31" s="171">
        <v>95.410799999999995</v>
      </c>
      <c r="K31" s="171">
        <v>96.173400000000001</v>
      </c>
      <c r="L31" s="171">
        <v>98.322900000000004</v>
      </c>
      <c r="M31" s="171">
        <v>100</v>
      </c>
      <c r="O31" s="92"/>
    </row>
    <row r="32" spans="1:18" ht="18.75" customHeight="1">
      <c r="A32" s="7" t="s">
        <v>130</v>
      </c>
      <c r="B32" s="89">
        <f>B12*($L31/B31)</f>
        <v>348.54160259384412</v>
      </c>
      <c r="C32" s="89">
        <f t="shared" ref="C32" si="5">C7*($L31/C31)</f>
        <v>498.513588798066</v>
      </c>
      <c r="D32" s="89">
        <v>556.98524107475725</v>
      </c>
      <c r="E32" s="89">
        <v>594.52507850012682</v>
      </c>
      <c r="F32" s="89">
        <v>638.93181201124901</v>
      </c>
      <c r="G32" s="89">
        <v>628.93894646760282</v>
      </c>
      <c r="H32" s="89">
        <v>631.68881542604424</v>
      </c>
      <c r="I32" s="89">
        <v>779.91919354907191</v>
      </c>
      <c r="J32" s="89">
        <v>818.83707085571029</v>
      </c>
      <c r="K32" s="89">
        <v>845.69458083004236</v>
      </c>
      <c r="L32" s="89">
        <v>859.08943491292473</v>
      </c>
      <c r="M32" s="89">
        <v>882.72776399999998</v>
      </c>
      <c r="N32" s="126"/>
      <c r="O32" s="94"/>
      <c r="P32" s="95"/>
      <c r="Q32" s="96"/>
    </row>
    <row r="33" spans="1:20" ht="18.75" customHeight="1">
      <c r="A33" s="24" t="s">
        <v>46</v>
      </c>
      <c r="B33" s="25">
        <f>MROUND(B32*1000000/B11,10)</f>
        <v>3590</v>
      </c>
      <c r="C33" s="25">
        <f t="shared" ref="C33" si="6">MROUND(C32*1000000/C11,10)</f>
        <v>5180</v>
      </c>
      <c r="D33" s="25">
        <v>4460</v>
      </c>
      <c r="E33" s="25">
        <v>4550</v>
      </c>
      <c r="F33" s="25">
        <v>4800</v>
      </c>
      <c r="G33" s="25">
        <v>4690</v>
      </c>
      <c r="H33" s="25">
        <v>4670</v>
      </c>
      <c r="I33" s="25">
        <v>5680</v>
      </c>
      <c r="J33" s="25">
        <v>5880</v>
      </c>
      <c r="K33" s="25">
        <v>5990</v>
      </c>
      <c r="L33" s="25">
        <v>5990</v>
      </c>
      <c r="M33" s="25">
        <v>5970</v>
      </c>
      <c r="O33" s="94"/>
      <c r="P33" s="95"/>
      <c r="Q33" s="96"/>
    </row>
    <row r="34" spans="1:20">
      <c r="K34" s="136"/>
      <c r="L34" s="136"/>
      <c r="M34" s="136"/>
    </row>
    <row r="35" spans="1:20">
      <c r="K35" s="294"/>
    </row>
    <row r="36" spans="1:20">
      <c r="A36" s="81" t="s">
        <v>44</v>
      </c>
      <c r="B36" s="11"/>
      <c r="C36" s="11"/>
      <c r="D36" s="11"/>
      <c r="E36" s="11"/>
      <c r="F36" s="11"/>
      <c r="G36" s="11"/>
      <c r="H36" s="11"/>
      <c r="I36" s="11"/>
      <c r="J36" s="11"/>
      <c r="T36" s="10"/>
    </row>
    <row r="37" spans="1:20">
      <c r="A37" s="12"/>
      <c r="B37" s="11"/>
      <c r="C37" s="11"/>
      <c r="D37" s="11"/>
      <c r="E37" s="11"/>
      <c r="F37" s="11"/>
      <c r="G37" s="11"/>
      <c r="H37" s="11"/>
      <c r="I37" s="11"/>
      <c r="J37" s="11"/>
      <c r="T37" s="10"/>
    </row>
    <row r="38" spans="1:20">
      <c r="A38" s="5" t="s">
        <v>97</v>
      </c>
      <c r="B38" s="5"/>
      <c r="C38" s="5"/>
      <c r="D38" s="5"/>
      <c r="E38" s="5"/>
    </row>
    <row r="39" spans="1:20">
      <c r="A39" s="5"/>
      <c r="B39" s="5"/>
      <c r="C39" s="5"/>
      <c r="D39" s="5"/>
      <c r="E39" s="5"/>
    </row>
    <row r="40" spans="1:20">
      <c r="A40" s="5" t="s">
        <v>96</v>
      </c>
      <c r="B40" s="5"/>
      <c r="C40" s="5"/>
      <c r="D40" s="5"/>
      <c r="E40" s="5"/>
    </row>
    <row r="41" spans="1:20">
      <c r="A41" s="316" t="s">
        <v>279</v>
      </c>
    </row>
  </sheetData>
  <mergeCells count="1">
    <mergeCell ref="P4:Q4"/>
  </mergeCells>
  <phoneticPr fontId="3" type="noConversion"/>
  <hyperlinks>
    <hyperlink ref="M1" location="Contents!A1" display="&gt;&gt; Contents"/>
    <hyperlink ref="A41" r:id="rId1"/>
  </hyperlinks>
  <pageMargins left="0.39370078740157483" right="0.39370078740157483" top="0.39370078740157483" bottom="0.39370078740157483" header="0" footer="0"/>
  <pageSetup paperSize="9" scale="75" fitToHeight="0" orientation="portrait" r:id="rId2"/>
  <headerFooter>
    <oddFooter>&amp;C&amp;"Calibri,Regular"&amp;KFF0000RESTRICTED STATISTICS Not for release until 25 October 2016</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2060"/>
    <pageSetUpPr fitToPage="1"/>
  </sheetPr>
  <dimension ref="A1:R22"/>
  <sheetViews>
    <sheetView showGridLines="0" zoomScaleNormal="100" workbookViewId="0"/>
  </sheetViews>
  <sheetFormatPr defaultColWidth="10.7109375" defaultRowHeight="15.75"/>
  <cols>
    <col min="1" max="1" width="21.42578125" style="1" customWidth="1"/>
    <col min="2" max="2" width="0" style="1" hidden="1" customWidth="1"/>
    <col min="3" max="3" width="11" style="1" hidden="1" customWidth="1"/>
    <col min="4" max="16384" width="10.7109375" style="1"/>
  </cols>
  <sheetData>
    <row r="1" spans="1:18" ht="23.25">
      <c r="A1" s="138" t="str">
        <f>Contents!A1</f>
        <v>Higher Education Student Support in Scotland 2017-18</v>
      </c>
      <c r="B1" s="139"/>
      <c r="C1" s="139"/>
      <c r="D1" s="139"/>
      <c r="E1" s="139"/>
      <c r="F1" s="139"/>
      <c r="G1" s="139"/>
      <c r="H1" s="139"/>
      <c r="I1" s="139"/>
      <c r="J1" s="139"/>
      <c r="K1" s="140"/>
      <c r="L1" s="140"/>
      <c r="M1" s="140" t="s">
        <v>70</v>
      </c>
    </row>
    <row r="2" spans="1:18" ht="18.75">
      <c r="A2" s="60" t="str">
        <f ca="1">CONCATENATE(REPLACE(CELL("Filename",A2),1,FIND("]",CELL("filename",A2)),""),": Full-time students domicile of student")</f>
        <v>Table A2: Full-time students domicile of student</v>
      </c>
      <c r="B2" s="33"/>
      <c r="C2" s="33"/>
      <c r="D2" s="33"/>
      <c r="E2" s="33"/>
      <c r="F2" s="33"/>
      <c r="G2" s="33"/>
      <c r="H2" s="33"/>
      <c r="I2" s="33"/>
      <c r="J2" s="33"/>
      <c r="K2" s="59"/>
      <c r="L2" s="59"/>
      <c r="M2" s="59"/>
    </row>
    <row r="3" spans="1:18">
      <c r="A3" s="172"/>
    </row>
    <row r="4" spans="1:18" ht="22.5" customHeight="1">
      <c r="A4" s="4"/>
      <c r="B4" s="13" t="s">
        <v>23</v>
      </c>
      <c r="C4" s="13" t="s">
        <v>24</v>
      </c>
      <c r="D4" s="13" t="s">
        <v>27</v>
      </c>
      <c r="E4" s="13" t="s">
        <v>28</v>
      </c>
      <c r="F4" s="13" t="s">
        <v>15</v>
      </c>
      <c r="G4" s="13" t="s">
        <v>59</v>
      </c>
      <c r="H4" s="13" t="s">
        <v>1</v>
      </c>
      <c r="I4" s="13" t="s">
        <v>61</v>
      </c>
      <c r="J4" s="13" t="s">
        <v>169</v>
      </c>
      <c r="K4" s="13" t="s">
        <v>233</v>
      </c>
      <c r="L4" s="13" t="s">
        <v>246</v>
      </c>
      <c r="M4" s="13" t="s">
        <v>253</v>
      </c>
      <c r="O4" s="93"/>
      <c r="P4" s="330"/>
      <c r="Q4" s="330"/>
      <c r="R4" s="93"/>
    </row>
    <row r="5" spans="1:18" ht="18.75" customHeight="1">
      <c r="A5" s="14" t="s">
        <v>20</v>
      </c>
      <c r="B5" s="15"/>
      <c r="C5" s="15"/>
      <c r="D5" s="15"/>
      <c r="E5" s="15"/>
      <c r="F5" s="15"/>
      <c r="G5" s="15"/>
      <c r="H5" s="15"/>
      <c r="I5" s="15"/>
      <c r="J5" s="15"/>
      <c r="K5" s="43"/>
      <c r="L5" s="15"/>
      <c r="M5" s="15"/>
      <c r="O5" s="92"/>
      <c r="P5" s="91"/>
      <c r="Q5" s="91"/>
    </row>
    <row r="6" spans="1:18" ht="18.75" customHeight="1">
      <c r="A6" s="6" t="s">
        <v>77</v>
      </c>
      <c r="B6" s="15">
        <v>120525</v>
      </c>
      <c r="C6" s="15">
        <v>121235</v>
      </c>
      <c r="D6" s="15">
        <v>124845</v>
      </c>
      <c r="E6" s="15">
        <v>130680</v>
      </c>
      <c r="F6" s="15">
        <v>133175</v>
      </c>
      <c r="G6" s="15">
        <v>133990</v>
      </c>
      <c r="H6" s="15">
        <v>135375</v>
      </c>
      <c r="I6" s="15">
        <v>137270</v>
      </c>
      <c r="J6" s="15">
        <v>139370</v>
      </c>
      <c r="K6" s="43">
        <v>141235</v>
      </c>
      <c r="L6" s="15">
        <v>143500</v>
      </c>
      <c r="M6" s="15">
        <v>147920</v>
      </c>
      <c r="O6" s="94"/>
      <c r="P6" s="95"/>
      <c r="Q6" s="96"/>
      <c r="R6" s="94"/>
    </row>
    <row r="7" spans="1:18" ht="18.75" customHeight="1">
      <c r="A7" s="42" t="s">
        <v>130</v>
      </c>
      <c r="B7" s="90">
        <v>417.51100000000002</v>
      </c>
      <c r="C7" s="90">
        <v>423.64800000000002</v>
      </c>
      <c r="D7" s="90">
        <v>482.56700000000001</v>
      </c>
      <c r="E7" s="90">
        <v>522.38599999999997</v>
      </c>
      <c r="F7" s="90">
        <v>571.851</v>
      </c>
      <c r="G7" s="90">
        <v>570.30799999999999</v>
      </c>
      <c r="H7" s="90">
        <v>584.33299999999997</v>
      </c>
      <c r="I7" s="90">
        <v>734.68600000000004</v>
      </c>
      <c r="J7" s="90">
        <v>781.25900000000001</v>
      </c>
      <c r="K7" s="90">
        <v>813.33223199999998</v>
      </c>
      <c r="L7" s="90">
        <v>844.681646</v>
      </c>
      <c r="M7" s="90">
        <v>882.72776399999998</v>
      </c>
      <c r="O7" s="94"/>
      <c r="P7" s="95"/>
      <c r="Q7" s="96"/>
      <c r="R7" s="94"/>
    </row>
    <row r="8" spans="1:18" ht="18.75" customHeight="1">
      <c r="A8" s="16" t="s">
        <v>134</v>
      </c>
      <c r="B8" s="17">
        <f>MROUND(B7*1000000/B6,10)</f>
        <v>3460</v>
      </c>
      <c r="C8" s="17">
        <f t="shared" ref="C8" si="0">MROUND(C7*1000000/C6,10)</f>
        <v>3490</v>
      </c>
      <c r="D8" s="17">
        <v>3870</v>
      </c>
      <c r="E8" s="17">
        <v>4000</v>
      </c>
      <c r="F8" s="17">
        <v>4290</v>
      </c>
      <c r="G8" s="17">
        <v>4260</v>
      </c>
      <c r="H8" s="17">
        <v>4320</v>
      </c>
      <c r="I8" s="17">
        <v>5350</v>
      </c>
      <c r="J8" s="17">
        <v>5610</v>
      </c>
      <c r="K8" s="17">
        <v>5760</v>
      </c>
      <c r="L8" s="17">
        <v>5890</v>
      </c>
      <c r="M8" s="17">
        <v>5970</v>
      </c>
      <c r="O8" s="94"/>
      <c r="P8" s="95"/>
      <c r="Q8" s="96"/>
      <c r="R8" s="94"/>
    </row>
    <row r="9" spans="1:18" ht="18.75" customHeight="1">
      <c r="B9" s="136"/>
      <c r="C9" s="136"/>
      <c r="D9" s="136"/>
      <c r="E9" s="136"/>
      <c r="F9" s="136"/>
      <c r="G9" s="136"/>
      <c r="H9" s="136"/>
      <c r="I9" s="136"/>
      <c r="J9" s="136"/>
      <c r="K9" s="107"/>
      <c r="L9" s="136"/>
      <c r="M9" s="136"/>
      <c r="O9" s="94"/>
      <c r="P9" s="95"/>
      <c r="Q9" s="96"/>
    </row>
    <row r="10" spans="1:18" ht="18.75" customHeight="1">
      <c r="A10" s="2" t="s">
        <v>30</v>
      </c>
      <c r="B10" s="19"/>
      <c r="C10" s="19"/>
      <c r="D10" s="19"/>
      <c r="E10" s="19"/>
      <c r="F10" s="19"/>
      <c r="G10" s="19"/>
      <c r="H10" s="19"/>
      <c r="I10" s="19"/>
      <c r="J10" s="19"/>
      <c r="K10" s="19"/>
      <c r="L10" s="19"/>
      <c r="M10" s="19"/>
    </row>
    <row r="11" spans="1:18" ht="18.75" customHeight="1">
      <c r="A11" s="21" t="s">
        <v>77</v>
      </c>
      <c r="B11" s="18">
        <v>114660</v>
      </c>
      <c r="C11" s="18">
        <v>114850</v>
      </c>
      <c r="D11" s="18">
        <v>115300</v>
      </c>
      <c r="E11" s="18">
        <v>119660</v>
      </c>
      <c r="F11" s="18">
        <v>121855</v>
      </c>
      <c r="G11" s="18">
        <v>122115</v>
      </c>
      <c r="H11" s="18">
        <v>121990</v>
      </c>
      <c r="I11" s="18">
        <v>123725</v>
      </c>
      <c r="J11" s="18">
        <v>124930</v>
      </c>
      <c r="K11" s="22">
        <v>126530</v>
      </c>
      <c r="L11" s="18">
        <v>128710</v>
      </c>
      <c r="M11" s="18">
        <v>132680</v>
      </c>
      <c r="N11" s="295"/>
      <c r="O11" s="94"/>
      <c r="P11" s="95"/>
      <c r="Q11" s="96"/>
      <c r="R11" s="94"/>
    </row>
    <row r="12" spans="1:18" ht="18.75" customHeight="1">
      <c r="A12" s="7" t="s">
        <v>130</v>
      </c>
      <c r="B12" s="89">
        <v>410.19200000000001</v>
      </c>
      <c r="C12" s="89">
        <v>415.59</v>
      </c>
      <c r="D12" s="89">
        <v>465.904</v>
      </c>
      <c r="E12" s="89">
        <v>502.19799999999998</v>
      </c>
      <c r="F12" s="89">
        <v>550.78599999999994</v>
      </c>
      <c r="G12" s="89">
        <v>547.95000000000005</v>
      </c>
      <c r="H12" s="89">
        <v>559.48</v>
      </c>
      <c r="I12" s="89">
        <v>709.13099999999997</v>
      </c>
      <c r="J12" s="89">
        <v>754.12800000000004</v>
      </c>
      <c r="K12" s="89">
        <v>784.70257800000002</v>
      </c>
      <c r="L12" s="89">
        <v>815.83300799999995</v>
      </c>
      <c r="M12" s="89">
        <v>850.77313400000003</v>
      </c>
      <c r="O12" s="94"/>
      <c r="P12" s="95"/>
      <c r="Q12" s="96"/>
      <c r="R12" s="94"/>
    </row>
    <row r="13" spans="1:18" ht="18.75" customHeight="1">
      <c r="A13" s="7" t="s">
        <v>134</v>
      </c>
      <c r="B13" s="22">
        <f>MROUND(B12*1000000/B11,10)</f>
        <v>3580</v>
      </c>
      <c r="C13" s="22">
        <f t="shared" ref="C13" si="1">MROUND(C12*1000000/C11,10)</f>
        <v>3620</v>
      </c>
      <c r="D13" s="22">
        <v>4040</v>
      </c>
      <c r="E13" s="22">
        <v>4200</v>
      </c>
      <c r="F13" s="22">
        <v>4520</v>
      </c>
      <c r="G13" s="22">
        <v>4490</v>
      </c>
      <c r="H13" s="22">
        <v>4590</v>
      </c>
      <c r="I13" s="22">
        <v>5730</v>
      </c>
      <c r="J13" s="22">
        <v>6040</v>
      </c>
      <c r="K13" s="22">
        <v>6200</v>
      </c>
      <c r="L13" s="22">
        <v>6340</v>
      </c>
      <c r="M13" s="22">
        <v>6410</v>
      </c>
      <c r="O13" s="94"/>
      <c r="P13" s="95"/>
      <c r="Q13" s="96"/>
      <c r="R13" s="94"/>
    </row>
    <row r="14" spans="1:18" ht="18.75" hidden="1" customHeight="1">
      <c r="A14" s="231" t="s">
        <v>130</v>
      </c>
      <c r="B14" s="232">
        <v>410.19200000000001</v>
      </c>
      <c r="C14" s="232">
        <f>C12*('Table A1'!$L31/'Table A1'!C31)</f>
        <v>489.03160729801209</v>
      </c>
      <c r="D14" s="232">
        <v>0</v>
      </c>
      <c r="E14" s="232">
        <v>0</v>
      </c>
      <c r="F14" s="232">
        <v>0</v>
      </c>
      <c r="G14" s="232">
        <v>0</v>
      </c>
      <c r="H14" s="232">
        <v>0</v>
      </c>
      <c r="I14" s="232">
        <v>0</v>
      </c>
      <c r="J14" s="232">
        <v>0</v>
      </c>
      <c r="K14" s="232" t="e">
        <v>#DIV/0!</v>
      </c>
      <c r="L14" s="232"/>
      <c r="M14" s="232"/>
      <c r="O14" s="94"/>
      <c r="P14" s="95"/>
      <c r="Q14" s="96"/>
    </row>
    <row r="15" spans="1:18" ht="18.75" hidden="1" customHeight="1">
      <c r="A15" s="231" t="s">
        <v>134</v>
      </c>
      <c r="B15" s="233">
        <v>3580</v>
      </c>
      <c r="C15" s="233">
        <f>MROUND(C14*1000000/C11,10)</f>
        <v>4260</v>
      </c>
      <c r="D15" s="233">
        <v>0</v>
      </c>
      <c r="E15" s="233">
        <v>0</v>
      </c>
      <c r="F15" s="233">
        <v>0</v>
      </c>
      <c r="G15" s="233">
        <v>0</v>
      </c>
      <c r="H15" s="233">
        <v>0</v>
      </c>
      <c r="I15" s="233">
        <v>0</v>
      </c>
      <c r="J15" s="233">
        <v>0</v>
      </c>
      <c r="K15" s="233" t="e">
        <v>#DIV/0!</v>
      </c>
      <c r="L15" s="233"/>
      <c r="M15" s="233"/>
      <c r="O15" s="94"/>
      <c r="P15" s="95"/>
      <c r="Q15" s="96"/>
    </row>
    <row r="16" spans="1:18" ht="18.75" customHeight="1">
      <c r="B16" s="136"/>
      <c r="C16" s="136"/>
      <c r="D16" s="136"/>
      <c r="E16" s="136"/>
      <c r="F16" s="136"/>
      <c r="G16" s="136"/>
      <c r="H16" s="136"/>
      <c r="I16" s="136"/>
      <c r="J16" s="136"/>
      <c r="K16" s="107"/>
      <c r="L16" s="136"/>
      <c r="M16" s="136"/>
    </row>
    <row r="17" spans="1:18" ht="18.75" customHeight="1">
      <c r="A17" s="2" t="s">
        <v>31</v>
      </c>
      <c r="B17" s="18"/>
      <c r="C17" s="18"/>
      <c r="D17" s="18"/>
      <c r="E17" s="18"/>
      <c r="F17" s="18"/>
      <c r="G17" s="18"/>
      <c r="H17" s="18"/>
      <c r="I17" s="18"/>
      <c r="J17" s="18"/>
      <c r="K17" s="22"/>
      <c r="L17" s="18"/>
      <c r="M17" s="18"/>
    </row>
    <row r="18" spans="1:18" ht="18.75" customHeight="1">
      <c r="A18" s="21" t="s">
        <v>77</v>
      </c>
      <c r="B18" s="18">
        <v>5865</v>
      </c>
      <c r="C18" s="18">
        <v>6385</v>
      </c>
      <c r="D18" s="18">
        <v>9545</v>
      </c>
      <c r="E18" s="18">
        <v>11020</v>
      </c>
      <c r="F18" s="18">
        <v>11320</v>
      </c>
      <c r="G18" s="18">
        <v>11870</v>
      </c>
      <c r="H18" s="18">
        <v>13385</v>
      </c>
      <c r="I18" s="18">
        <v>13550</v>
      </c>
      <c r="J18" s="18">
        <v>14440</v>
      </c>
      <c r="K18" s="22">
        <v>14710</v>
      </c>
      <c r="L18" s="18">
        <v>14785</v>
      </c>
      <c r="M18" s="18">
        <v>15240</v>
      </c>
      <c r="N18" s="295"/>
      <c r="O18" s="94"/>
      <c r="P18" s="95"/>
      <c r="Q18" s="96"/>
      <c r="R18" s="94"/>
    </row>
    <row r="19" spans="1:18" ht="18.75" customHeight="1">
      <c r="A19" s="7" t="s">
        <v>130</v>
      </c>
      <c r="B19" s="89">
        <v>7.32</v>
      </c>
      <c r="C19" s="89">
        <v>8.0579999999999998</v>
      </c>
      <c r="D19" s="89">
        <v>16.663</v>
      </c>
      <c r="E19" s="89">
        <v>20.189</v>
      </c>
      <c r="F19" s="89">
        <v>21.065999999999999</v>
      </c>
      <c r="G19" s="89">
        <v>22.358000000000001</v>
      </c>
      <c r="H19" s="89">
        <v>24.853000000000002</v>
      </c>
      <c r="I19" s="89">
        <v>25.555</v>
      </c>
      <c r="J19" s="89">
        <v>27.132000000000001</v>
      </c>
      <c r="K19" s="89">
        <v>28.630654</v>
      </c>
      <c r="L19" s="89">
        <v>28.848638000000001</v>
      </c>
      <c r="M19" s="89">
        <v>31.954630000000002</v>
      </c>
      <c r="N19" s="295"/>
      <c r="O19" s="94"/>
      <c r="P19" s="95"/>
      <c r="Q19" s="96"/>
      <c r="R19" s="94"/>
    </row>
    <row r="20" spans="1:18" ht="18.75" customHeight="1">
      <c r="A20" s="24" t="s">
        <v>134</v>
      </c>
      <c r="B20" s="25">
        <f>MROUND(B19*1000000/B18,10)</f>
        <v>1250</v>
      </c>
      <c r="C20" s="25">
        <f t="shared" ref="C20" si="2">MROUND(C19*1000000/C18,10)</f>
        <v>1260</v>
      </c>
      <c r="D20" s="25">
        <v>1750</v>
      </c>
      <c r="E20" s="25">
        <v>1830</v>
      </c>
      <c r="F20" s="25">
        <v>1860</v>
      </c>
      <c r="G20" s="25">
        <v>1880</v>
      </c>
      <c r="H20" s="25">
        <v>1860</v>
      </c>
      <c r="I20" s="25">
        <v>1890</v>
      </c>
      <c r="J20" s="25">
        <v>1880</v>
      </c>
      <c r="K20" s="25">
        <v>1950</v>
      </c>
      <c r="L20" s="25">
        <v>1950</v>
      </c>
      <c r="M20" s="25">
        <v>2100</v>
      </c>
      <c r="O20" s="94"/>
      <c r="P20" s="95"/>
      <c r="Q20" s="96"/>
      <c r="R20" s="94"/>
    </row>
    <row r="21" spans="1:18">
      <c r="B21" s="136"/>
      <c r="C21" s="136"/>
      <c r="D21" s="136"/>
      <c r="E21" s="136"/>
      <c r="F21" s="136"/>
      <c r="G21" s="136"/>
      <c r="H21" s="136"/>
      <c r="I21" s="136"/>
      <c r="J21" s="136"/>
      <c r="K21" s="136"/>
      <c r="L21" s="136"/>
      <c r="M21" s="136"/>
    </row>
    <row r="22" spans="1:18">
      <c r="A22" s="230"/>
      <c r="B22" s="136"/>
      <c r="C22" s="136"/>
      <c r="D22" s="136"/>
      <c r="E22" s="136"/>
      <c r="F22" s="136"/>
      <c r="G22" s="136"/>
      <c r="H22" s="136"/>
      <c r="I22" s="136"/>
      <c r="J22" s="136"/>
      <c r="K22" s="136"/>
      <c r="L22" s="136"/>
      <c r="M22" s="136"/>
    </row>
  </sheetData>
  <mergeCells count="1">
    <mergeCell ref="P4:Q4"/>
  </mergeCells>
  <phoneticPr fontId="3" type="noConversion"/>
  <hyperlinks>
    <hyperlink ref="M1" location="Contents!A1" display="&gt;&gt; Contents"/>
  </hyperlinks>
  <pageMargins left="0.39370078740157483" right="0.39370078740157483" top="0.39370078740157483" bottom="0.39370078740157483" header="0" footer="0"/>
  <pageSetup paperSize="9" scale="75" fitToHeight="0" orientation="portrait" r:id="rId1"/>
  <headerFooter>
    <oddFooter>&amp;C&amp;"Calibri,Regular"&amp;KFF0000RESTRICTED STATISTICS Not for release until 25 October 2016</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2060"/>
    <pageSetUpPr fitToPage="1"/>
  </sheetPr>
  <dimension ref="A1:Q23"/>
  <sheetViews>
    <sheetView showGridLines="0" zoomScaleNormal="100" workbookViewId="0"/>
  </sheetViews>
  <sheetFormatPr defaultColWidth="10.7109375" defaultRowHeight="15.75"/>
  <cols>
    <col min="1" max="1" width="21.42578125" style="1" customWidth="1"/>
    <col min="2" max="3" width="0" style="1" hidden="1" customWidth="1"/>
    <col min="4" max="16384" width="10.7109375" style="1"/>
  </cols>
  <sheetData>
    <row r="1" spans="1:17" ht="23.25">
      <c r="A1" s="138" t="str">
        <f>Contents!A1</f>
        <v>Higher Education Student Support in Scotland 2017-18</v>
      </c>
      <c r="B1" s="139"/>
      <c r="C1" s="139"/>
      <c r="D1" s="139"/>
      <c r="E1" s="139"/>
      <c r="F1" s="139"/>
      <c r="G1" s="139"/>
      <c r="H1" s="139"/>
      <c r="I1" s="139"/>
      <c r="J1" s="139"/>
      <c r="K1" s="140"/>
      <c r="L1" s="140"/>
      <c r="M1" s="140" t="s">
        <v>70</v>
      </c>
    </row>
    <row r="2" spans="1:17" ht="18.75">
      <c r="A2" s="60" t="str">
        <f ca="1">CONCATENATE(REPLACE(CELL("Filename",A2),1,FIND("]",CELL("filename",A2)),""),": Full-time students location of study by institution type")</f>
        <v>Table A3: Full-time students location of study by institution type</v>
      </c>
      <c r="B2" s="33"/>
      <c r="C2" s="33"/>
      <c r="D2" s="33"/>
      <c r="E2" s="33"/>
      <c r="F2" s="33"/>
      <c r="G2" s="33"/>
      <c r="H2" s="33"/>
      <c r="I2" s="33"/>
      <c r="J2" s="33"/>
      <c r="K2" s="59"/>
      <c r="L2" s="59"/>
      <c r="M2" s="59"/>
    </row>
    <row r="3" spans="1:17">
      <c r="A3" s="172"/>
    </row>
    <row r="4" spans="1:17" ht="22.5" customHeight="1">
      <c r="A4" s="4" t="s">
        <v>77</v>
      </c>
      <c r="B4" s="13" t="s">
        <v>23</v>
      </c>
      <c r="C4" s="13" t="s">
        <v>24</v>
      </c>
      <c r="D4" s="13" t="s">
        <v>27</v>
      </c>
      <c r="E4" s="13" t="s">
        <v>28</v>
      </c>
      <c r="F4" s="13" t="s">
        <v>15</v>
      </c>
      <c r="G4" s="13" t="s">
        <v>59</v>
      </c>
      <c r="H4" s="13" t="s">
        <v>1</v>
      </c>
      <c r="I4" s="13" t="s">
        <v>61</v>
      </c>
      <c r="J4" s="13" t="s">
        <v>169</v>
      </c>
      <c r="K4" s="13" t="s">
        <v>233</v>
      </c>
      <c r="L4" s="13" t="s">
        <v>246</v>
      </c>
      <c r="M4" s="13" t="s">
        <v>253</v>
      </c>
      <c r="O4" s="93"/>
      <c r="P4" s="330"/>
      <c r="Q4" s="330"/>
    </row>
    <row r="5" spans="1:17" ht="18.75" customHeight="1">
      <c r="A5" s="14" t="s">
        <v>29</v>
      </c>
      <c r="B5" s="41">
        <v>120525</v>
      </c>
      <c r="C5" s="41">
        <v>121235</v>
      </c>
      <c r="D5" s="41">
        <v>124845</v>
      </c>
      <c r="E5" s="41">
        <v>130680</v>
      </c>
      <c r="F5" s="41">
        <v>133175</v>
      </c>
      <c r="G5" s="41">
        <v>133990</v>
      </c>
      <c r="H5" s="41">
        <v>135375</v>
      </c>
      <c r="I5" s="41">
        <v>137270</v>
      </c>
      <c r="J5" s="41">
        <v>139370</v>
      </c>
      <c r="K5" s="41">
        <v>141235</v>
      </c>
      <c r="L5" s="41">
        <v>143500</v>
      </c>
      <c r="M5" s="41">
        <v>147920</v>
      </c>
      <c r="O5" s="94"/>
      <c r="P5" s="95"/>
      <c r="Q5" s="96"/>
    </row>
    <row r="6" spans="1:17" ht="18.75" customHeight="1">
      <c r="A6" s="6" t="s">
        <v>62</v>
      </c>
      <c r="B6" s="15">
        <v>95325</v>
      </c>
      <c r="C6" s="15">
        <v>95990</v>
      </c>
      <c r="D6" s="15">
        <v>99140</v>
      </c>
      <c r="E6" s="15">
        <v>102715</v>
      </c>
      <c r="F6" s="15">
        <v>103475</v>
      </c>
      <c r="G6" s="15">
        <v>103410</v>
      </c>
      <c r="H6" s="15">
        <v>104910</v>
      </c>
      <c r="I6" s="15">
        <v>106460</v>
      </c>
      <c r="J6" s="15">
        <v>108095</v>
      </c>
      <c r="K6" s="15">
        <v>110055</v>
      </c>
      <c r="L6" s="15">
        <v>111960</v>
      </c>
      <c r="M6" s="15">
        <v>116360</v>
      </c>
      <c r="O6" s="94"/>
      <c r="P6" s="95"/>
      <c r="Q6" s="96"/>
    </row>
    <row r="7" spans="1:17" ht="18.75" customHeight="1">
      <c r="A7" s="6" t="s">
        <v>63</v>
      </c>
      <c r="B7" s="15">
        <v>24975</v>
      </c>
      <c r="C7" s="15">
        <v>24980</v>
      </c>
      <c r="D7" s="15">
        <v>25495</v>
      </c>
      <c r="E7" s="15">
        <v>27735</v>
      </c>
      <c r="F7" s="15">
        <v>29440</v>
      </c>
      <c r="G7" s="15">
        <v>30300</v>
      </c>
      <c r="H7" s="15">
        <v>30105</v>
      </c>
      <c r="I7" s="15">
        <v>30415</v>
      </c>
      <c r="J7" s="15">
        <v>30860</v>
      </c>
      <c r="K7" s="15">
        <v>30725</v>
      </c>
      <c r="L7" s="15">
        <v>31005</v>
      </c>
      <c r="M7" s="15">
        <v>30980</v>
      </c>
      <c r="O7" s="94"/>
      <c r="P7" s="95"/>
      <c r="Q7" s="96"/>
    </row>
    <row r="8" spans="1:17" ht="18.75" customHeight="1">
      <c r="A8" s="16" t="s">
        <v>33</v>
      </c>
      <c r="B8" s="17">
        <v>225</v>
      </c>
      <c r="C8" s="17">
        <v>260</v>
      </c>
      <c r="D8" s="17">
        <v>205</v>
      </c>
      <c r="E8" s="17">
        <v>235</v>
      </c>
      <c r="F8" s="17">
        <v>260</v>
      </c>
      <c r="G8" s="17">
        <v>280</v>
      </c>
      <c r="H8" s="17">
        <v>360</v>
      </c>
      <c r="I8" s="17">
        <v>395</v>
      </c>
      <c r="J8" s="17">
        <v>415</v>
      </c>
      <c r="K8" s="17">
        <v>455</v>
      </c>
      <c r="L8" s="17">
        <v>535</v>
      </c>
      <c r="M8" s="17">
        <v>585</v>
      </c>
      <c r="O8" s="94"/>
      <c r="P8" s="95"/>
      <c r="Q8" s="96"/>
    </row>
    <row r="9" spans="1:17" ht="18.75" customHeight="1">
      <c r="B9" s="18"/>
      <c r="C9" s="18"/>
      <c r="D9" s="18"/>
      <c r="E9" s="18"/>
      <c r="F9" s="18"/>
      <c r="G9" s="18"/>
      <c r="H9" s="18"/>
      <c r="I9" s="18"/>
      <c r="J9" s="18"/>
      <c r="K9" s="18"/>
      <c r="L9" s="18"/>
      <c r="M9" s="18"/>
    </row>
    <row r="10" spans="1:17" ht="18.75" customHeight="1">
      <c r="A10" s="2" t="s">
        <v>32</v>
      </c>
      <c r="B10" s="44">
        <v>115205</v>
      </c>
      <c r="C10" s="44">
        <v>116185</v>
      </c>
      <c r="D10" s="44">
        <v>120345</v>
      </c>
      <c r="E10" s="44">
        <v>126465</v>
      </c>
      <c r="F10" s="44">
        <v>129015</v>
      </c>
      <c r="G10" s="44">
        <v>129925</v>
      </c>
      <c r="H10" s="44">
        <v>131520</v>
      </c>
      <c r="I10" s="44">
        <v>133365</v>
      </c>
      <c r="J10" s="44">
        <v>135550</v>
      </c>
      <c r="K10" s="44">
        <v>137365</v>
      </c>
      <c r="L10" s="44">
        <v>139425</v>
      </c>
      <c r="M10" s="44">
        <v>143550</v>
      </c>
      <c r="O10" s="94"/>
      <c r="P10" s="95"/>
      <c r="Q10" s="96"/>
    </row>
    <row r="11" spans="1:17" ht="18.75" customHeight="1">
      <c r="A11" s="21" t="s">
        <v>62</v>
      </c>
      <c r="B11" s="18">
        <v>90460</v>
      </c>
      <c r="C11" s="18">
        <v>91390</v>
      </c>
      <c r="D11" s="18">
        <v>94935</v>
      </c>
      <c r="E11" s="18">
        <v>98800</v>
      </c>
      <c r="F11" s="18">
        <v>99625</v>
      </c>
      <c r="G11" s="18">
        <v>99630</v>
      </c>
      <c r="H11" s="18">
        <v>101320</v>
      </c>
      <c r="I11" s="18">
        <v>102815</v>
      </c>
      <c r="J11" s="18">
        <v>104550</v>
      </c>
      <c r="K11" s="18">
        <v>106465</v>
      </c>
      <c r="L11" s="18">
        <v>108190</v>
      </c>
      <c r="M11" s="18">
        <v>112305</v>
      </c>
      <c r="O11" s="94"/>
      <c r="P11" s="95"/>
      <c r="Q11" s="96"/>
    </row>
    <row r="12" spans="1:17" ht="18.75" customHeight="1">
      <c r="A12" s="21" t="s">
        <v>63</v>
      </c>
      <c r="B12" s="18">
        <v>24610</v>
      </c>
      <c r="C12" s="18">
        <v>24640</v>
      </c>
      <c r="D12" s="18">
        <v>25270</v>
      </c>
      <c r="E12" s="18">
        <v>27505</v>
      </c>
      <c r="F12" s="18">
        <v>29205</v>
      </c>
      <c r="G12" s="18">
        <v>30085</v>
      </c>
      <c r="H12" s="18">
        <v>29930</v>
      </c>
      <c r="I12" s="18">
        <v>30240</v>
      </c>
      <c r="J12" s="18">
        <v>30670</v>
      </c>
      <c r="K12" s="18">
        <v>30540</v>
      </c>
      <c r="L12" s="18">
        <v>30800</v>
      </c>
      <c r="M12" s="18">
        <v>30785</v>
      </c>
      <c r="O12" s="94"/>
      <c r="P12" s="95"/>
      <c r="Q12" s="96"/>
    </row>
    <row r="13" spans="1:17" ht="18.75" customHeight="1">
      <c r="A13" s="7" t="s">
        <v>33</v>
      </c>
      <c r="B13" s="22">
        <v>130</v>
      </c>
      <c r="C13" s="22">
        <v>155</v>
      </c>
      <c r="D13" s="22">
        <v>140</v>
      </c>
      <c r="E13" s="22">
        <v>160</v>
      </c>
      <c r="F13" s="22">
        <v>185</v>
      </c>
      <c r="G13" s="22">
        <v>205</v>
      </c>
      <c r="H13" s="22">
        <v>270</v>
      </c>
      <c r="I13" s="22">
        <v>307</v>
      </c>
      <c r="J13" s="22">
        <v>330</v>
      </c>
      <c r="K13" s="22">
        <v>360</v>
      </c>
      <c r="L13" s="22">
        <v>435</v>
      </c>
      <c r="M13" s="22">
        <v>460</v>
      </c>
      <c r="O13" s="94"/>
      <c r="P13" s="95"/>
      <c r="Q13" s="96"/>
    </row>
    <row r="14" spans="1:17" ht="18.75" customHeight="1">
      <c r="B14" s="18"/>
      <c r="C14" s="18"/>
      <c r="D14" s="18"/>
      <c r="E14" s="18"/>
      <c r="F14" s="18"/>
      <c r="G14" s="18"/>
      <c r="H14" s="18"/>
      <c r="I14" s="18"/>
      <c r="J14" s="18"/>
      <c r="K14" s="18"/>
      <c r="L14" s="18"/>
      <c r="M14" s="18"/>
      <c r="O14" s="94"/>
      <c r="P14" s="95"/>
      <c r="Q14" s="96"/>
    </row>
    <row r="15" spans="1:17" ht="18.75" customHeight="1">
      <c r="A15" s="2" t="s">
        <v>34</v>
      </c>
      <c r="B15" s="44">
        <v>5325</v>
      </c>
      <c r="C15" s="44">
        <v>5050</v>
      </c>
      <c r="D15" s="44">
        <v>4495</v>
      </c>
      <c r="E15" s="44">
        <v>4215</v>
      </c>
      <c r="F15" s="44">
        <v>4160</v>
      </c>
      <c r="G15" s="44">
        <v>4065</v>
      </c>
      <c r="H15" s="44">
        <v>3855</v>
      </c>
      <c r="I15" s="44">
        <v>3905</v>
      </c>
      <c r="J15" s="44">
        <v>3820</v>
      </c>
      <c r="K15" s="44">
        <v>3875</v>
      </c>
      <c r="L15" s="44">
        <v>4075</v>
      </c>
      <c r="M15" s="44">
        <v>4375</v>
      </c>
      <c r="O15" s="94"/>
      <c r="P15" s="95"/>
      <c r="Q15" s="96"/>
    </row>
    <row r="16" spans="1:17" ht="18.75" customHeight="1">
      <c r="A16" s="21" t="s">
        <v>62</v>
      </c>
      <c r="B16" s="18">
        <v>4865</v>
      </c>
      <c r="C16" s="18">
        <v>4600</v>
      </c>
      <c r="D16" s="18">
        <v>4205</v>
      </c>
      <c r="E16" s="18">
        <v>3915</v>
      </c>
      <c r="F16" s="18">
        <v>3850</v>
      </c>
      <c r="G16" s="18">
        <v>3775</v>
      </c>
      <c r="H16" s="18">
        <v>3590</v>
      </c>
      <c r="I16" s="18">
        <v>3645</v>
      </c>
      <c r="J16" s="18">
        <v>3545</v>
      </c>
      <c r="K16" s="18">
        <v>3590</v>
      </c>
      <c r="L16" s="18">
        <v>3770</v>
      </c>
      <c r="M16" s="18">
        <v>4055</v>
      </c>
      <c r="O16" s="94"/>
      <c r="P16" s="95"/>
      <c r="Q16" s="96"/>
    </row>
    <row r="17" spans="1:17" ht="18.75" customHeight="1">
      <c r="A17" s="21" t="s">
        <v>63</v>
      </c>
      <c r="B17" s="18">
        <v>360</v>
      </c>
      <c r="C17" s="18">
        <v>340</v>
      </c>
      <c r="D17" s="18">
        <v>225</v>
      </c>
      <c r="E17" s="18">
        <v>230</v>
      </c>
      <c r="F17" s="18">
        <v>240</v>
      </c>
      <c r="G17" s="18">
        <v>215</v>
      </c>
      <c r="H17" s="18">
        <v>175</v>
      </c>
      <c r="I17" s="18">
        <v>175</v>
      </c>
      <c r="J17" s="18">
        <v>190</v>
      </c>
      <c r="K17" s="18">
        <v>185</v>
      </c>
      <c r="L17" s="18">
        <v>205</v>
      </c>
      <c r="M17" s="18">
        <v>195</v>
      </c>
      <c r="O17" s="94"/>
      <c r="P17" s="95"/>
      <c r="Q17" s="96"/>
    </row>
    <row r="18" spans="1:17" ht="18.75" customHeight="1">
      <c r="A18" s="24" t="s">
        <v>33</v>
      </c>
      <c r="B18" s="25">
        <v>95</v>
      </c>
      <c r="C18" s="25">
        <v>105</v>
      </c>
      <c r="D18" s="25">
        <v>65</v>
      </c>
      <c r="E18" s="25">
        <v>75</v>
      </c>
      <c r="F18" s="25">
        <v>75</v>
      </c>
      <c r="G18" s="25">
        <v>75</v>
      </c>
      <c r="H18" s="25">
        <v>90</v>
      </c>
      <c r="I18" s="25">
        <v>85</v>
      </c>
      <c r="J18" s="25">
        <v>85</v>
      </c>
      <c r="K18" s="25">
        <v>95</v>
      </c>
      <c r="L18" s="25">
        <v>100</v>
      </c>
      <c r="M18" s="25">
        <v>120</v>
      </c>
      <c r="O18" s="94"/>
      <c r="P18" s="95"/>
      <c r="Q18" s="96"/>
    </row>
    <row r="21" spans="1:17">
      <c r="A21" s="81" t="s">
        <v>44</v>
      </c>
    </row>
    <row r="22" spans="1:17">
      <c r="A22" s="45"/>
    </row>
    <row r="23" spans="1:17">
      <c r="A23" s="82" t="s">
        <v>102</v>
      </c>
    </row>
  </sheetData>
  <mergeCells count="1">
    <mergeCell ref="P4:Q4"/>
  </mergeCells>
  <phoneticPr fontId="3" type="noConversion"/>
  <hyperlinks>
    <hyperlink ref="M1" location="Contents!A1" display="&gt;&gt; Contents"/>
  </hyperlinks>
  <pageMargins left="0.39370078740157483" right="0.39370078740157483" top="0.39370078740157483" bottom="0.39370078740157483" header="0" footer="0"/>
  <pageSetup paperSize="9" scale="75" fitToHeight="0" orientation="portrait" r:id="rId1"/>
  <headerFooter>
    <oddFooter>&amp;C&amp;"Calibri,Regular"&amp;KFF0000RESTRICTED STATISTICS Not for release until 25 October 2016</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2060"/>
    <pageSetUpPr fitToPage="1"/>
  </sheetPr>
  <dimension ref="A1:L24"/>
  <sheetViews>
    <sheetView showGridLines="0" workbookViewId="0"/>
  </sheetViews>
  <sheetFormatPr defaultColWidth="10.7109375" defaultRowHeight="15.75"/>
  <cols>
    <col min="1" max="1" width="21.42578125" style="1" customWidth="1"/>
    <col min="2" max="3" width="10.7109375" style="1" customWidth="1"/>
    <col min="4" max="4" width="7.140625" style="1" customWidth="1"/>
    <col min="5" max="6" width="10.7109375" style="1" customWidth="1"/>
    <col min="7" max="7" width="7.140625" style="1" customWidth="1"/>
    <col min="8" max="9" width="10.7109375" style="1" customWidth="1"/>
    <col min="10" max="10" width="7.140625" style="1" customWidth="1"/>
    <col min="11" max="16384" width="10.7109375" style="1"/>
  </cols>
  <sheetData>
    <row r="1" spans="1:12" ht="23.25">
      <c r="A1" s="138" t="str">
        <f>Contents!A1</f>
        <v>Higher Education Student Support in Scotland 2017-18</v>
      </c>
      <c r="B1" s="139"/>
      <c r="C1" s="139"/>
      <c r="D1" s="139"/>
      <c r="E1" s="139"/>
      <c r="F1" s="139"/>
      <c r="G1" s="139"/>
      <c r="H1" s="139"/>
      <c r="I1" s="139"/>
      <c r="J1" s="139"/>
      <c r="K1" s="139"/>
      <c r="L1" s="140" t="s">
        <v>70</v>
      </c>
    </row>
    <row r="2" spans="1:12" ht="18.75">
      <c r="A2" s="60" t="str">
        <f ca="1">CONCATENATE(REPLACE(CELL("Filename",A2),1,FIND("]",CELL("filename",A2)),""),": Full-time students institution location type by support type provided")</f>
        <v>Table A4: Full-time students institution location type by support type provided</v>
      </c>
      <c r="B2" s="33"/>
      <c r="C2" s="33"/>
      <c r="D2" s="33"/>
      <c r="E2" s="33"/>
      <c r="F2" s="33"/>
      <c r="G2" s="33"/>
      <c r="H2" s="33"/>
      <c r="I2" s="33"/>
      <c r="J2" s="33"/>
      <c r="K2" s="33"/>
      <c r="L2" s="59"/>
    </row>
    <row r="3" spans="1:12">
      <c r="A3" s="172"/>
    </row>
    <row r="4" spans="1:12" ht="22.5" customHeight="1">
      <c r="A4" s="28"/>
      <c r="B4" s="331" t="s">
        <v>166</v>
      </c>
      <c r="C4" s="332"/>
      <c r="D4" s="29"/>
      <c r="E4" s="331" t="s">
        <v>164</v>
      </c>
      <c r="F4" s="331"/>
      <c r="G4" s="29"/>
      <c r="H4" s="331" t="s">
        <v>41</v>
      </c>
      <c r="I4" s="331"/>
      <c r="J4" s="29"/>
      <c r="K4" s="331" t="s">
        <v>42</v>
      </c>
      <c r="L4" s="331"/>
    </row>
    <row r="5" spans="1:12" ht="78.75">
      <c r="A5" s="30"/>
      <c r="B5" s="31" t="s">
        <v>72</v>
      </c>
      <c r="C5" s="187" t="s">
        <v>168</v>
      </c>
      <c r="D5" s="31"/>
      <c r="E5" s="31" t="s">
        <v>72</v>
      </c>
      <c r="F5" s="31" t="s">
        <v>168</v>
      </c>
      <c r="G5" s="31"/>
      <c r="H5" s="31" t="s">
        <v>72</v>
      </c>
      <c r="I5" s="31" t="s">
        <v>168</v>
      </c>
      <c r="J5" s="31"/>
      <c r="K5" s="31" t="s">
        <v>16</v>
      </c>
      <c r="L5" s="31" t="s">
        <v>167</v>
      </c>
    </row>
    <row r="6" spans="1:12" ht="18.75" customHeight="1">
      <c r="A6" s="14" t="s">
        <v>29</v>
      </c>
      <c r="B6" s="188">
        <v>147920</v>
      </c>
      <c r="C6" s="189">
        <v>882.72776399999998</v>
      </c>
      <c r="D6" s="41"/>
      <c r="E6" s="41">
        <v>53620</v>
      </c>
      <c r="F6" s="119">
        <v>76.328935000000001</v>
      </c>
      <c r="G6" s="41"/>
      <c r="H6" s="41">
        <v>140240</v>
      </c>
      <c r="I6" s="119">
        <v>278.04942299999999</v>
      </c>
      <c r="J6" s="41"/>
      <c r="K6" s="41">
        <v>99895</v>
      </c>
      <c r="L6" s="119">
        <v>528.35638100000006</v>
      </c>
    </row>
    <row r="7" spans="1:12" ht="18.75" customHeight="1">
      <c r="A7" s="6" t="s">
        <v>62</v>
      </c>
      <c r="B7" s="43">
        <v>116360</v>
      </c>
      <c r="C7" s="190">
        <v>701.55493899999999</v>
      </c>
      <c r="D7" s="15"/>
      <c r="E7" s="15">
        <v>35910</v>
      </c>
      <c r="F7" s="168">
        <v>51.160851999999998</v>
      </c>
      <c r="G7" s="15"/>
      <c r="H7" s="15">
        <v>111815</v>
      </c>
      <c r="I7" s="168">
        <v>239.69807800000001</v>
      </c>
      <c r="J7" s="15"/>
      <c r="K7" s="15">
        <v>79200</v>
      </c>
      <c r="L7" s="168">
        <v>410.70298400000001</v>
      </c>
    </row>
    <row r="8" spans="1:12" ht="18.75" customHeight="1">
      <c r="A8" s="6" t="s">
        <v>63</v>
      </c>
      <c r="B8" s="43">
        <v>30980</v>
      </c>
      <c r="C8" s="190">
        <v>177.251735</v>
      </c>
      <c r="D8" s="15"/>
      <c r="E8" s="15">
        <v>17480</v>
      </c>
      <c r="F8" s="168">
        <v>24.865538000000001</v>
      </c>
      <c r="G8" s="15"/>
      <c r="H8" s="15">
        <v>27915</v>
      </c>
      <c r="I8" s="168">
        <v>37.212449999999997</v>
      </c>
      <c r="J8" s="15"/>
      <c r="K8" s="15">
        <v>20235</v>
      </c>
      <c r="L8" s="168">
        <v>115.17374700000001</v>
      </c>
    </row>
    <row r="9" spans="1:12" ht="18.75" customHeight="1">
      <c r="A9" s="16" t="s">
        <v>71</v>
      </c>
      <c r="B9" s="17">
        <v>585</v>
      </c>
      <c r="C9" s="191">
        <v>3.92109</v>
      </c>
      <c r="D9" s="17"/>
      <c r="E9" s="17">
        <v>225</v>
      </c>
      <c r="F9" s="120">
        <v>0.30254500000000001</v>
      </c>
      <c r="G9" s="17"/>
      <c r="H9" s="17">
        <v>510</v>
      </c>
      <c r="I9" s="120">
        <v>1.138895</v>
      </c>
      <c r="J9" s="17"/>
      <c r="K9" s="17">
        <v>460</v>
      </c>
      <c r="L9" s="120">
        <v>2.4796499999999999</v>
      </c>
    </row>
    <row r="10" spans="1:12" ht="18.75" customHeight="1">
      <c r="B10" s="48"/>
      <c r="C10" s="192"/>
      <c r="D10" s="18"/>
      <c r="E10" s="46"/>
      <c r="F10" s="123"/>
      <c r="G10" s="18"/>
      <c r="H10" s="18"/>
      <c r="I10" s="126"/>
      <c r="J10" s="18"/>
      <c r="K10" s="18"/>
      <c r="L10" s="126"/>
    </row>
    <row r="11" spans="1:12" ht="18.75" customHeight="1">
      <c r="A11" s="2" t="s">
        <v>18</v>
      </c>
      <c r="B11" s="193">
        <v>143550</v>
      </c>
      <c r="C11" s="194">
        <v>828.868833</v>
      </c>
      <c r="D11" s="44"/>
      <c r="E11" s="47">
        <v>52285</v>
      </c>
      <c r="F11" s="122">
        <v>74.407946999999993</v>
      </c>
      <c r="G11" s="44"/>
      <c r="H11" s="44">
        <v>136315</v>
      </c>
      <c r="I11" s="125">
        <v>245.30172200000001</v>
      </c>
      <c r="J11" s="44"/>
      <c r="K11" s="44">
        <v>96155</v>
      </c>
      <c r="L11" s="125">
        <v>509.15916399999998</v>
      </c>
    </row>
    <row r="12" spans="1:12" ht="18.75" customHeight="1">
      <c r="A12" s="21" t="s">
        <v>62</v>
      </c>
      <c r="B12" s="48">
        <v>112305</v>
      </c>
      <c r="C12" s="192">
        <v>651.159629</v>
      </c>
      <c r="D12" s="18"/>
      <c r="E12" s="46">
        <v>34690</v>
      </c>
      <c r="F12" s="123">
        <v>49.408895000000001</v>
      </c>
      <c r="G12" s="18"/>
      <c r="H12" s="18">
        <v>108130</v>
      </c>
      <c r="I12" s="126">
        <v>208.73096699999999</v>
      </c>
      <c r="J12" s="18"/>
      <c r="K12" s="18">
        <v>75745</v>
      </c>
      <c r="L12" s="126">
        <v>393.019767</v>
      </c>
    </row>
    <row r="13" spans="1:12" ht="18.75" customHeight="1">
      <c r="A13" s="21" t="s">
        <v>63</v>
      </c>
      <c r="B13" s="48">
        <v>30785</v>
      </c>
      <c r="C13" s="192">
        <v>175.05493300000001</v>
      </c>
      <c r="D13" s="18"/>
      <c r="E13" s="46">
        <v>17410</v>
      </c>
      <c r="F13" s="123">
        <v>24.754251</v>
      </c>
      <c r="G13" s="18"/>
      <c r="H13" s="18">
        <v>27770</v>
      </c>
      <c r="I13" s="126">
        <v>36.039935</v>
      </c>
      <c r="J13" s="18"/>
      <c r="K13" s="18">
        <v>20065</v>
      </c>
      <c r="L13" s="126">
        <v>114.26074699999999</v>
      </c>
    </row>
    <row r="14" spans="1:12" ht="18.75" customHeight="1">
      <c r="A14" s="21" t="s">
        <v>17</v>
      </c>
      <c r="B14" s="48">
        <v>460</v>
      </c>
      <c r="C14" s="192">
        <v>2.654271</v>
      </c>
      <c r="D14" s="18"/>
      <c r="E14" s="46">
        <v>185</v>
      </c>
      <c r="F14" s="123">
        <v>0.24480099999999999</v>
      </c>
      <c r="G14" s="18"/>
      <c r="H14" s="18">
        <v>410</v>
      </c>
      <c r="I14" s="126">
        <v>0.53081999999999996</v>
      </c>
      <c r="J14" s="18"/>
      <c r="K14" s="18">
        <v>350</v>
      </c>
      <c r="L14" s="126">
        <v>1.8786499999999999</v>
      </c>
    </row>
    <row r="15" spans="1:12" ht="18.75" customHeight="1">
      <c r="A15" s="21"/>
      <c r="B15" s="48"/>
      <c r="C15" s="192"/>
      <c r="D15" s="18"/>
      <c r="E15" s="46"/>
      <c r="F15" s="123"/>
      <c r="G15" s="18"/>
      <c r="H15" s="18"/>
      <c r="I15" s="126"/>
      <c r="J15" s="18"/>
      <c r="K15" s="18"/>
      <c r="L15" s="126"/>
    </row>
    <row r="16" spans="1:12" ht="18.75" customHeight="1">
      <c r="A16" s="50" t="s">
        <v>34</v>
      </c>
      <c r="B16" s="193">
        <v>4375</v>
      </c>
      <c r="C16" s="194">
        <v>53.858930999999998</v>
      </c>
      <c r="D16" s="44"/>
      <c r="E16" s="47">
        <v>1330</v>
      </c>
      <c r="F16" s="122">
        <v>1.9209879999999999</v>
      </c>
      <c r="G16" s="44"/>
      <c r="H16" s="44">
        <v>3925</v>
      </c>
      <c r="I16" s="125">
        <v>32.747700999999999</v>
      </c>
      <c r="J16" s="44"/>
      <c r="K16" s="44">
        <v>3740</v>
      </c>
      <c r="L16" s="125">
        <v>19.197216999999998</v>
      </c>
    </row>
    <row r="17" spans="1:12" ht="18.75" customHeight="1">
      <c r="A17" s="7" t="s">
        <v>62</v>
      </c>
      <c r="B17" s="48">
        <v>4055</v>
      </c>
      <c r="C17" s="192">
        <v>50.395310000000002</v>
      </c>
      <c r="D17" s="22"/>
      <c r="E17" s="48">
        <v>1220</v>
      </c>
      <c r="F17" s="121">
        <v>1.751957</v>
      </c>
      <c r="G17" s="22"/>
      <c r="H17" s="22">
        <v>3680</v>
      </c>
      <c r="I17" s="89">
        <v>30.967110999999999</v>
      </c>
      <c r="J17" s="22"/>
      <c r="K17" s="22">
        <v>3455</v>
      </c>
      <c r="L17" s="89">
        <v>17.683216999999999</v>
      </c>
    </row>
    <row r="18" spans="1:12" ht="18.75" customHeight="1">
      <c r="A18" s="7" t="s">
        <v>63</v>
      </c>
      <c r="B18" s="48">
        <v>195</v>
      </c>
      <c r="C18" s="192">
        <v>2.1968019999999999</v>
      </c>
      <c r="D18" s="22"/>
      <c r="E18" s="48">
        <v>70</v>
      </c>
      <c r="F18" s="121">
        <v>0.111287</v>
      </c>
      <c r="G18" s="22"/>
      <c r="H18" s="22">
        <v>145</v>
      </c>
      <c r="I18" s="89">
        <v>1.172515</v>
      </c>
      <c r="J18" s="22"/>
      <c r="K18" s="22">
        <v>170</v>
      </c>
      <c r="L18" s="89">
        <v>0.91300000000000003</v>
      </c>
    </row>
    <row r="19" spans="1:12" ht="18.75" customHeight="1">
      <c r="A19" s="24" t="s">
        <v>17</v>
      </c>
      <c r="B19" s="49">
        <v>120</v>
      </c>
      <c r="C19" s="195">
        <v>1.2668189999999999</v>
      </c>
      <c r="D19" s="25"/>
      <c r="E19" s="49">
        <v>40</v>
      </c>
      <c r="F19" s="235">
        <v>5.7743999999999997E-2</v>
      </c>
      <c r="G19" s="25"/>
      <c r="H19" s="25">
        <v>100</v>
      </c>
      <c r="I19" s="127">
        <v>0.60807500000000003</v>
      </c>
      <c r="J19" s="25"/>
      <c r="K19" s="25">
        <v>110</v>
      </c>
      <c r="L19" s="127">
        <v>0.60099999999999998</v>
      </c>
    </row>
    <row r="22" spans="1:12">
      <c r="A22" s="2" t="s">
        <v>44</v>
      </c>
    </row>
    <row r="24" spans="1:12">
      <c r="A24" s="5" t="s">
        <v>102</v>
      </c>
      <c r="B24" s="5"/>
      <c r="E24" s="5"/>
    </row>
  </sheetData>
  <mergeCells count="4">
    <mergeCell ref="E4:F4"/>
    <mergeCell ref="H4:I4"/>
    <mergeCell ref="K4:L4"/>
    <mergeCell ref="B4:C4"/>
  </mergeCells>
  <phoneticPr fontId="3" type="noConversion"/>
  <hyperlinks>
    <hyperlink ref="L1" location="Contents!A1" display="&gt;&gt; Contents"/>
  </hyperlinks>
  <pageMargins left="0.39370078740157483" right="0.39370078740157483" top="0.39370078740157483" bottom="0.39370078740157483" header="0" footer="0"/>
  <pageSetup paperSize="9" scale="75" fitToHeight="0" orientation="portrait" r:id="rId1"/>
  <headerFooter>
    <oddFooter>&amp;C&amp;"Calibri,Regular"&amp;KFF0000RESTRICTED STATISTICS Not for release until 25 October 2016</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2060"/>
    <pageSetUpPr fitToPage="1"/>
  </sheetPr>
  <dimension ref="A1:Q23"/>
  <sheetViews>
    <sheetView showGridLines="0" zoomScaleNormal="100" workbookViewId="0"/>
  </sheetViews>
  <sheetFormatPr defaultColWidth="10.7109375" defaultRowHeight="15.75"/>
  <cols>
    <col min="1" max="1" width="21.42578125" style="1" customWidth="1"/>
    <col min="2" max="3" width="0" style="1" hidden="1" customWidth="1"/>
    <col min="4" max="16384" width="10.7109375" style="1"/>
  </cols>
  <sheetData>
    <row r="1" spans="1:17" ht="23.25">
      <c r="A1" s="138" t="str">
        <f>Contents!A1</f>
        <v>Higher Education Student Support in Scotland 2017-18</v>
      </c>
      <c r="B1" s="139"/>
      <c r="C1" s="139"/>
      <c r="D1" s="139"/>
      <c r="E1" s="139"/>
      <c r="F1" s="139"/>
      <c r="G1" s="139"/>
      <c r="H1" s="139"/>
      <c r="I1" s="139"/>
      <c r="J1" s="139"/>
      <c r="K1" s="140"/>
      <c r="L1" s="140"/>
      <c r="M1" s="140" t="s">
        <v>70</v>
      </c>
    </row>
    <row r="2" spans="1:17" ht="18.75">
      <c r="A2" s="60" t="str">
        <f ca="1">CONCATENATE(REPLACE(CELL("Filename",A2),1,FIND("]",CELL("filename",A2)),""),": Full-time students age by gender")</f>
        <v>Table A5: Full-time students age by gender</v>
      </c>
      <c r="B2" s="33"/>
      <c r="C2" s="33"/>
      <c r="D2" s="33"/>
      <c r="E2" s="33"/>
      <c r="F2" s="33"/>
      <c r="G2" s="33"/>
      <c r="H2" s="33"/>
      <c r="I2" s="33"/>
      <c r="J2" s="33"/>
      <c r="K2" s="59"/>
      <c r="L2" s="59"/>
      <c r="M2" s="59"/>
    </row>
    <row r="3" spans="1:17">
      <c r="A3" s="172"/>
    </row>
    <row r="4" spans="1:17" ht="22.5" customHeight="1">
      <c r="A4" s="4" t="s">
        <v>77</v>
      </c>
      <c r="B4" s="13" t="s">
        <v>23</v>
      </c>
      <c r="C4" s="13" t="s">
        <v>24</v>
      </c>
      <c r="D4" s="13" t="s">
        <v>27</v>
      </c>
      <c r="E4" s="13" t="s">
        <v>28</v>
      </c>
      <c r="F4" s="13" t="s">
        <v>15</v>
      </c>
      <c r="G4" s="13" t="s">
        <v>59</v>
      </c>
      <c r="H4" s="13" t="s">
        <v>1</v>
      </c>
      <c r="I4" s="13" t="s">
        <v>61</v>
      </c>
      <c r="J4" s="13" t="s">
        <v>169</v>
      </c>
      <c r="K4" s="13" t="s">
        <v>233</v>
      </c>
      <c r="L4" s="13" t="s">
        <v>246</v>
      </c>
      <c r="M4" s="13" t="s">
        <v>253</v>
      </c>
      <c r="O4" s="93"/>
      <c r="P4" s="330"/>
      <c r="Q4" s="330"/>
    </row>
    <row r="5" spans="1:17" ht="18.75" customHeight="1">
      <c r="A5" s="14" t="s">
        <v>29</v>
      </c>
      <c r="B5" s="41">
        <v>120525</v>
      </c>
      <c r="C5" s="41">
        <v>121235</v>
      </c>
      <c r="D5" s="41">
        <v>124845</v>
      </c>
      <c r="E5" s="41">
        <v>130680</v>
      </c>
      <c r="F5" s="41">
        <v>133175</v>
      </c>
      <c r="G5" s="41">
        <v>133990</v>
      </c>
      <c r="H5" s="41">
        <v>135375</v>
      </c>
      <c r="I5" s="41">
        <v>137270</v>
      </c>
      <c r="J5" s="41">
        <v>139370</v>
      </c>
      <c r="K5" s="41">
        <v>141235</v>
      </c>
      <c r="L5" s="41">
        <v>143500</v>
      </c>
      <c r="M5" s="41">
        <v>147920</v>
      </c>
      <c r="O5" s="94"/>
      <c r="P5" s="95"/>
      <c r="Q5" s="96"/>
    </row>
    <row r="6" spans="1:17" ht="18.75" customHeight="1">
      <c r="A6" s="6" t="s">
        <v>35</v>
      </c>
      <c r="B6" s="15">
        <v>11560</v>
      </c>
      <c r="C6" s="15">
        <v>11640</v>
      </c>
      <c r="D6" s="15">
        <v>11625</v>
      </c>
      <c r="E6" s="15">
        <v>11820</v>
      </c>
      <c r="F6" s="15">
        <v>10985</v>
      </c>
      <c r="G6" s="15">
        <v>10795</v>
      </c>
      <c r="H6" s="15">
        <v>10595</v>
      </c>
      <c r="I6" s="15">
        <v>10625</v>
      </c>
      <c r="J6" s="15">
        <v>10660</v>
      </c>
      <c r="K6" s="15">
        <v>10365</v>
      </c>
      <c r="L6" s="15">
        <v>10655</v>
      </c>
      <c r="M6" s="15">
        <v>10275</v>
      </c>
      <c r="O6" s="94"/>
      <c r="P6" s="95"/>
      <c r="Q6" s="96"/>
    </row>
    <row r="7" spans="1:17" ht="18.75" customHeight="1">
      <c r="A7" s="6" t="s">
        <v>64</v>
      </c>
      <c r="B7" s="15">
        <v>59980</v>
      </c>
      <c r="C7" s="15">
        <v>59885</v>
      </c>
      <c r="D7" s="15">
        <v>61180</v>
      </c>
      <c r="E7" s="15">
        <v>64480</v>
      </c>
      <c r="F7" s="15">
        <v>66935</v>
      </c>
      <c r="G7" s="15">
        <v>68490</v>
      </c>
      <c r="H7" s="15">
        <v>70190</v>
      </c>
      <c r="I7" s="15">
        <v>70315</v>
      </c>
      <c r="J7" s="15">
        <v>71070</v>
      </c>
      <c r="K7" s="15">
        <v>70825</v>
      </c>
      <c r="L7" s="15">
        <v>71685</v>
      </c>
      <c r="M7" s="15">
        <v>72360</v>
      </c>
      <c r="O7" s="94"/>
      <c r="P7" s="95"/>
      <c r="Q7" s="96"/>
    </row>
    <row r="8" spans="1:17" ht="18.75" customHeight="1">
      <c r="A8" s="6" t="s">
        <v>65</v>
      </c>
      <c r="B8" s="15">
        <v>28815</v>
      </c>
      <c r="C8" s="15">
        <v>29145</v>
      </c>
      <c r="D8" s="15">
        <v>32010</v>
      </c>
      <c r="E8" s="15">
        <v>33650</v>
      </c>
      <c r="F8" s="15">
        <v>34185</v>
      </c>
      <c r="G8" s="15">
        <v>33900</v>
      </c>
      <c r="H8" s="15">
        <v>34615</v>
      </c>
      <c r="I8" s="15">
        <v>35980</v>
      </c>
      <c r="J8" s="15">
        <v>37290</v>
      </c>
      <c r="K8" s="15">
        <v>39090</v>
      </c>
      <c r="L8" s="15">
        <v>39165</v>
      </c>
      <c r="M8" s="15">
        <v>40945</v>
      </c>
      <c r="O8" s="94"/>
      <c r="P8" s="95"/>
      <c r="Q8" s="96"/>
    </row>
    <row r="9" spans="1:17" ht="18.75" customHeight="1">
      <c r="A9" s="16" t="s">
        <v>36</v>
      </c>
      <c r="B9" s="17">
        <v>20170</v>
      </c>
      <c r="C9" s="17">
        <v>20565</v>
      </c>
      <c r="D9" s="17">
        <v>20025</v>
      </c>
      <c r="E9" s="17">
        <v>20730</v>
      </c>
      <c r="F9" s="17">
        <v>21070</v>
      </c>
      <c r="G9" s="17">
        <v>20800</v>
      </c>
      <c r="H9" s="17">
        <v>19980</v>
      </c>
      <c r="I9" s="17">
        <v>20350</v>
      </c>
      <c r="J9" s="17">
        <v>20350</v>
      </c>
      <c r="K9" s="17">
        <v>20955</v>
      </c>
      <c r="L9" s="17">
        <v>21995</v>
      </c>
      <c r="M9" s="17">
        <v>24340</v>
      </c>
      <c r="O9" s="94"/>
      <c r="P9" s="95"/>
      <c r="Q9" s="96"/>
    </row>
    <row r="10" spans="1:17" ht="18.75" customHeight="1">
      <c r="B10" s="18"/>
      <c r="C10" s="18"/>
      <c r="D10" s="18"/>
      <c r="E10" s="18"/>
      <c r="F10" s="18"/>
      <c r="G10" s="18"/>
      <c r="H10" s="18"/>
      <c r="I10" s="18"/>
      <c r="J10" s="18"/>
      <c r="K10" s="18"/>
      <c r="L10" s="18"/>
      <c r="M10" s="18"/>
    </row>
    <row r="11" spans="1:17" ht="18.75" customHeight="1">
      <c r="A11" s="2" t="s">
        <v>37</v>
      </c>
      <c r="B11" s="44">
        <v>64995</v>
      </c>
      <c r="C11" s="44">
        <v>65345</v>
      </c>
      <c r="D11" s="44">
        <v>65540</v>
      </c>
      <c r="E11" s="44">
        <v>69365</v>
      </c>
      <c r="F11" s="44">
        <v>71080</v>
      </c>
      <c r="G11" s="44">
        <v>72250</v>
      </c>
      <c r="H11" s="44">
        <v>73665</v>
      </c>
      <c r="I11" s="44">
        <v>75150</v>
      </c>
      <c r="J11" s="44">
        <v>77275</v>
      </c>
      <c r="K11" s="44">
        <v>78510</v>
      </c>
      <c r="L11" s="44">
        <v>80355</v>
      </c>
      <c r="M11" s="44">
        <v>83740</v>
      </c>
      <c r="O11" s="94"/>
      <c r="P11" s="95"/>
      <c r="Q11" s="96"/>
    </row>
    <row r="12" spans="1:17" ht="18.75" customHeight="1">
      <c r="A12" s="21" t="s">
        <v>35</v>
      </c>
      <c r="B12" s="18">
        <v>6110</v>
      </c>
      <c r="C12" s="18">
        <v>6110</v>
      </c>
      <c r="D12" s="18">
        <v>5905</v>
      </c>
      <c r="E12" s="18">
        <v>6355</v>
      </c>
      <c r="F12" s="18">
        <v>5970</v>
      </c>
      <c r="G12" s="18">
        <v>5805</v>
      </c>
      <c r="H12" s="18">
        <v>5815</v>
      </c>
      <c r="I12" s="18">
        <v>5900</v>
      </c>
      <c r="J12" s="18">
        <v>6040</v>
      </c>
      <c r="K12" s="18">
        <v>5940</v>
      </c>
      <c r="L12" s="18">
        <v>6100</v>
      </c>
      <c r="M12" s="18">
        <v>5920</v>
      </c>
      <c r="N12" s="91"/>
      <c r="O12" s="94"/>
      <c r="P12" s="95"/>
      <c r="Q12" s="96"/>
    </row>
    <row r="13" spans="1:17" ht="18.75" customHeight="1">
      <c r="A13" s="21" t="s">
        <v>64</v>
      </c>
      <c r="B13" s="18">
        <v>32535</v>
      </c>
      <c r="C13" s="18">
        <v>32275</v>
      </c>
      <c r="D13" s="18">
        <v>31990</v>
      </c>
      <c r="E13" s="18">
        <v>34300</v>
      </c>
      <c r="F13" s="18">
        <v>36120</v>
      </c>
      <c r="G13" s="18">
        <v>37455</v>
      </c>
      <c r="H13" s="18">
        <v>38655</v>
      </c>
      <c r="I13" s="18">
        <v>38685</v>
      </c>
      <c r="J13" s="18">
        <v>39450</v>
      </c>
      <c r="K13" s="18">
        <v>39435</v>
      </c>
      <c r="L13" s="18">
        <v>40255</v>
      </c>
      <c r="M13" s="18">
        <v>40775</v>
      </c>
      <c r="N13" s="91"/>
      <c r="O13" s="94"/>
      <c r="P13" s="95"/>
      <c r="Q13" s="96"/>
    </row>
    <row r="14" spans="1:17" ht="18.75" customHeight="1">
      <c r="A14" s="21" t="s">
        <v>65</v>
      </c>
      <c r="B14" s="18">
        <v>14745</v>
      </c>
      <c r="C14" s="18">
        <v>14955</v>
      </c>
      <c r="D14" s="18">
        <v>16330</v>
      </c>
      <c r="E14" s="18">
        <v>17210</v>
      </c>
      <c r="F14" s="18">
        <v>17575</v>
      </c>
      <c r="G14" s="18">
        <v>17695</v>
      </c>
      <c r="H14" s="18">
        <v>18275</v>
      </c>
      <c r="I14" s="18">
        <v>19205</v>
      </c>
      <c r="J14" s="18">
        <v>20145</v>
      </c>
      <c r="K14" s="18">
        <v>21060</v>
      </c>
      <c r="L14" s="18">
        <v>21165</v>
      </c>
      <c r="M14" s="18">
        <v>22500</v>
      </c>
      <c r="N14" s="91"/>
      <c r="O14" s="94"/>
      <c r="P14" s="95"/>
      <c r="Q14" s="96"/>
    </row>
    <row r="15" spans="1:17" ht="18.75" customHeight="1">
      <c r="A15" s="7" t="s">
        <v>36</v>
      </c>
      <c r="B15" s="22">
        <v>11605</v>
      </c>
      <c r="C15" s="22">
        <v>12005</v>
      </c>
      <c r="D15" s="22">
        <v>11315</v>
      </c>
      <c r="E15" s="22">
        <v>11500</v>
      </c>
      <c r="F15" s="22">
        <v>11415</v>
      </c>
      <c r="G15" s="22">
        <v>11295</v>
      </c>
      <c r="H15" s="22">
        <v>10920</v>
      </c>
      <c r="I15" s="22">
        <v>11355</v>
      </c>
      <c r="J15" s="22">
        <v>11640</v>
      </c>
      <c r="K15" s="22">
        <v>12075</v>
      </c>
      <c r="L15" s="22">
        <v>12830</v>
      </c>
      <c r="M15" s="22">
        <v>14550</v>
      </c>
      <c r="N15" s="91"/>
      <c r="O15" s="94"/>
      <c r="P15" s="95"/>
      <c r="Q15" s="96"/>
    </row>
    <row r="16" spans="1:17" ht="18.75" customHeight="1">
      <c r="B16" s="18"/>
      <c r="C16" s="18"/>
      <c r="D16" s="18"/>
      <c r="E16" s="18"/>
      <c r="F16" s="18"/>
      <c r="G16" s="18"/>
      <c r="H16" s="18"/>
      <c r="I16" s="18"/>
      <c r="J16" s="18"/>
      <c r="K16" s="18"/>
      <c r="L16" s="18"/>
      <c r="M16" s="18"/>
    </row>
    <row r="17" spans="1:17" ht="18.75" customHeight="1">
      <c r="A17" s="2" t="s">
        <v>38</v>
      </c>
      <c r="B17" s="44">
        <v>55530</v>
      </c>
      <c r="C17" s="44">
        <v>55890</v>
      </c>
      <c r="D17" s="44">
        <v>59300</v>
      </c>
      <c r="E17" s="44">
        <v>61315</v>
      </c>
      <c r="F17" s="44">
        <v>62095</v>
      </c>
      <c r="G17" s="44">
        <v>61735</v>
      </c>
      <c r="H17" s="44">
        <v>61710</v>
      </c>
      <c r="I17" s="44">
        <v>62120</v>
      </c>
      <c r="J17" s="44">
        <v>62090</v>
      </c>
      <c r="K17" s="44">
        <v>62730</v>
      </c>
      <c r="L17" s="44">
        <v>63145</v>
      </c>
      <c r="M17" s="44">
        <v>64180</v>
      </c>
      <c r="O17" s="94"/>
      <c r="P17" s="95"/>
      <c r="Q17" s="96"/>
    </row>
    <row r="18" spans="1:17" ht="18.75" customHeight="1">
      <c r="A18" s="21" t="s">
        <v>35</v>
      </c>
      <c r="B18" s="18">
        <v>5450</v>
      </c>
      <c r="C18" s="18">
        <v>5530</v>
      </c>
      <c r="D18" s="18">
        <v>5720</v>
      </c>
      <c r="E18" s="18">
        <v>5465</v>
      </c>
      <c r="F18" s="18">
        <v>5015</v>
      </c>
      <c r="G18" s="18">
        <v>4990</v>
      </c>
      <c r="H18" s="18">
        <v>4780</v>
      </c>
      <c r="I18" s="18">
        <v>4725</v>
      </c>
      <c r="J18" s="18">
        <v>4625</v>
      </c>
      <c r="K18" s="18">
        <v>4430</v>
      </c>
      <c r="L18" s="18">
        <v>4555</v>
      </c>
      <c r="M18" s="18">
        <v>4355</v>
      </c>
      <c r="N18" s="91"/>
      <c r="O18" s="94"/>
      <c r="P18" s="95"/>
      <c r="Q18" s="96"/>
    </row>
    <row r="19" spans="1:17" ht="18.75" customHeight="1">
      <c r="A19" s="21" t="s">
        <v>64</v>
      </c>
      <c r="B19" s="18">
        <v>27445</v>
      </c>
      <c r="C19" s="18">
        <v>27610</v>
      </c>
      <c r="D19" s="18">
        <v>29185</v>
      </c>
      <c r="E19" s="18">
        <v>30175</v>
      </c>
      <c r="F19" s="18">
        <v>30810</v>
      </c>
      <c r="G19" s="18">
        <v>31035</v>
      </c>
      <c r="H19" s="18">
        <v>31530</v>
      </c>
      <c r="I19" s="18">
        <v>31630</v>
      </c>
      <c r="J19" s="18">
        <v>31620</v>
      </c>
      <c r="K19" s="18">
        <v>31395</v>
      </c>
      <c r="L19" s="18">
        <v>31425</v>
      </c>
      <c r="M19" s="18">
        <v>31585</v>
      </c>
      <c r="N19" s="91"/>
      <c r="O19" s="94"/>
      <c r="P19" s="95"/>
      <c r="Q19" s="96"/>
    </row>
    <row r="20" spans="1:17" ht="18.75" customHeight="1">
      <c r="A20" s="21" t="s">
        <v>65</v>
      </c>
      <c r="B20" s="18">
        <v>14070</v>
      </c>
      <c r="C20" s="18">
        <v>14190</v>
      </c>
      <c r="D20" s="18">
        <v>15680</v>
      </c>
      <c r="E20" s="18">
        <v>16440</v>
      </c>
      <c r="F20" s="18">
        <v>16610</v>
      </c>
      <c r="G20" s="18">
        <v>16205</v>
      </c>
      <c r="H20" s="18">
        <v>16340</v>
      </c>
      <c r="I20" s="18">
        <v>16775</v>
      </c>
      <c r="J20" s="18">
        <v>17140</v>
      </c>
      <c r="K20" s="18">
        <v>18025</v>
      </c>
      <c r="L20" s="18">
        <v>18000</v>
      </c>
      <c r="M20" s="18">
        <v>18450</v>
      </c>
      <c r="N20" s="91"/>
      <c r="O20" s="94"/>
      <c r="P20" s="95"/>
      <c r="Q20" s="96"/>
    </row>
    <row r="21" spans="1:17" ht="18.75" customHeight="1">
      <c r="A21" s="24" t="s">
        <v>36</v>
      </c>
      <c r="B21" s="25">
        <v>8565</v>
      </c>
      <c r="C21" s="25">
        <v>8560</v>
      </c>
      <c r="D21" s="25">
        <v>8715</v>
      </c>
      <c r="E21" s="25">
        <v>9230</v>
      </c>
      <c r="F21" s="25">
        <v>9660</v>
      </c>
      <c r="G21" s="25">
        <v>9505</v>
      </c>
      <c r="H21" s="25">
        <v>9055</v>
      </c>
      <c r="I21" s="25">
        <v>8990</v>
      </c>
      <c r="J21" s="25">
        <v>8710</v>
      </c>
      <c r="K21" s="25">
        <v>8880</v>
      </c>
      <c r="L21" s="25">
        <v>9160</v>
      </c>
      <c r="M21" s="25">
        <v>9790</v>
      </c>
      <c r="N21" s="91"/>
      <c r="O21" s="94"/>
      <c r="P21" s="95"/>
      <c r="Q21" s="96"/>
    </row>
    <row r="22" spans="1:17">
      <c r="B22" s="136"/>
      <c r="C22" s="136"/>
      <c r="D22" s="136"/>
      <c r="E22" s="136"/>
      <c r="F22" s="136"/>
      <c r="G22" s="136"/>
      <c r="H22" s="136"/>
      <c r="I22" s="136"/>
      <c r="J22" s="136"/>
      <c r="K22" s="136"/>
      <c r="L22" s="136"/>
      <c r="M22" s="136"/>
    </row>
    <row r="23" spans="1:17">
      <c r="A23" s="2"/>
    </row>
  </sheetData>
  <mergeCells count="1">
    <mergeCell ref="P4:Q4"/>
  </mergeCells>
  <phoneticPr fontId="3" type="noConversion"/>
  <hyperlinks>
    <hyperlink ref="M1" location="Contents!A1" display="&gt;&gt; Contents"/>
  </hyperlinks>
  <pageMargins left="0.39370078740157483" right="0.39370078740157483" top="0.39370078740157483" bottom="0.39370078740157483" header="0" footer="0"/>
  <pageSetup paperSize="9" scale="75" fitToHeight="0" orientation="portrait" r:id="rId1"/>
  <headerFooter>
    <oddFooter>&amp;C&amp;"Calibri,Regular"&amp;KFF0000RESTRICTED STATISTICS Not for release until 25 October 2016</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0" tint="-0.249977111117893"/>
    <pageSetUpPr fitToPage="1"/>
  </sheetPr>
  <dimension ref="A1:K65"/>
  <sheetViews>
    <sheetView showGridLines="0" zoomScaleNormal="100" workbookViewId="0"/>
  </sheetViews>
  <sheetFormatPr defaultColWidth="10.7109375" defaultRowHeight="15.75"/>
  <cols>
    <col min="1" max="1" width="21.42578125" style="1" customWidth="1"/>
    <col min="2" max="16384" width="10.7109375" style="1"/>
  </cols>
  <sheetData>
    <row r="1" spans="1:11" ht="23.25">
      <c r="A1" s="138" t="str">
        <f>Contents!A1</f>
        <v>Higher Education Student Support in Scotland 2017-18</v>
      </c>
      <c r="B1" s="139"/>
      <c r="C1" s="139"/>
      <c r="D1" s="139"/>
      <c r="E1" s="139"/>
      <c r="F1" s="139"/>
      <c r="G1" s="139"/>
      <c r="H1" s="139"/>
      <c r="I1" s="139"/>
      <c r="J1" s="139"/>
      <c r="K1" s="140" t="s">
        <v>70</v>
      </c>
    </row>
    <row r="2" spans="1:11" ht="18.75">
      <c r="A2" s="60" t="str">
        <f ca="1">CONCATENATE(REPLACE(CELL("Filename",A2),1,FIND("]",CELL("filename",A2)),""),": Overview of SAAS schemes of support")</f>
        <v>Figure 1.1: Overview of SAAS schemes of support</v>
      </c>
      <c r="B2" s="33"/>
      <c r="C2" s="33"/>
      <c r="D2" s="33"/>
      <c r="E2" s="33"/>
      <c r="F2" s="33"/>
      <c r="G2" s="33"/>
      <c r="H2" s="33"/>
      <c r="I2" s="33"/>
      <c r="J2" s="33"/>
      <c r="K2" s="59"/>
    </row>
    <row r="3" spans="1:11">
      <c r="A3" s="172"/>
    </row>
    <row r="27" spans="1:1">
      <c r="A27" s="2"/>
    </row>
    <row r="28" spans="1:1" s="52" customFormat="1"/>
    <row r="29" spans="1:1">
      <c r="A29" s="56"/>
    </row>
    <row r="30" spans="1:1">
      <c r="A30" s="61"/>
    </row>
    <row r="41" spans="1:1">
      <c r="A41" s="2" t="s">
        <v>74</v>
      </c>
    </row>
    <row r="42" spans="1:1">
      <c r="A42" s="52"/>
    </row>
    <row r="43" spans="1:1">
      <c r="A43" s="56" t="str">
        <f ca="1">'Table 3.1'!A2</f>
        <v>Table 3.1: Key trends of support provided to full-time students</v>
      </c>
    </row>
    <row r="44" spans="1:1">
      <c r="A44" s="61" t="str">
        <f ca="1">HYPERLINK(CONCATENATE("#'",LEFT(A43,SEARCH(":",A43)-1),"'!A3"),"&gt;&gt;")</f>
        <v>&gt;&gt;</v>
      </c>
    </row>
    <row r="46" spans="1:1">
      <c r="A46" s="56" t="str">
        <f ca="1">'Table 4.1'!A2</f>
        <v>Table 4.1: Part-time students receiving tuition fee support</v>
      </c>
    </row>
    <row r="47" spans="1:1">
      <c r="A47" s="61" t="str">
        <f ca="1">HYPERLINK(CONCATENATE("#'",LEFT(A46,SEARCH(":",A46)-1),"'!A3"),"&gt;&gt;")</f>
        <v>&gt;&gt;</v>
      </c>
    </row>
    <row r="49" spans="1:7">
      <c r="A49" s="56" t="str">
        <f ca="1">'Table 5.1'!A2</f>
        <v>Table 5.1: Nursing and Midwifery support by year</v>
      </c>
    </row>
    <row r="50" spans="1:7">
      <c r="A50" s="61" t="str">
        <f ca="1">HYPERLINK(CONCATENATE("#'",LEFT(A49,SEARCH(":",A49)-1),"'!A3"),"&gt;&gt;")</f>
        <v>&gt;&gt;</v>
      </c>
    </row>
    <row r="52" spans="1:7">
      <c r="A52" s="56" t="str">
        <f ca="1">'Table 6.1'!A2</f>
        <v>Table 6.1: Discretionary Fund and Discretionary Childcare Fund support</v>
      </c>
    </row>
    <row r="53" spans="1:7">
      <c r="A53" s="61" t="str">
        <f ca="1">HYPERLINK(CONCATENATE("#'",LEFT(A52,SEARCH(":",A52)-1),"'!A3"),"&gt;&gt;")</f>
        <v>&gt;&gt;</v>
      </c>
    </row>
    <row r="55" spans="1:7" ht="31.5" hidden="1">
      <c r="A55" s="101" t="s">
        <v>253</v>
      </c>
      <c r="B55" s="185" t="s">
        <v>178</v>
      </c>
      <c r="C55" s="185" t="s">
        <v>179</v>
      </c>
      <c r="D55" s="185" t="s">
        <v>180</v>
      </c>
      <c r="E55" s="186" t="s">
        <v>181</v>
      </c>
      <c r="F55" s="186" t="s">
        <v>182</v>
      </c>
    </row>
    <row r="56" spans="1:7" hidden="1">
      <c r="A56" s="102" t="s">
        <v>29</v>
      </c>
      <c r="B56" s="103">
        <f>SUM(B57:B59)</f>
        <v>176405</v>
      </c>
      <c r="C56" s="184">
        <f>SUM(C57:C59)</f>
        <v>965.37279899999999</v>
      </c>
      <c r="D56" s="110">
        <f>MROUND(C56*1000000/B56,10)</f>
        <v>5470</v>
      </c>
      <c r="E56" s="105" t="str">
        <f>CONCATENATE(TEXT(B56,"#,###")," supported students")</f>
        <v>176,405 supported students</v>
      </c>
      <c r="F56" s="105" t="str">
        <f>CONCATENATE(TEXT(C56,"£#,###.0")," million funding")</f>
        <v>£965.4 million funding</v>
      </c>
      <c r="G56" s="105" t="str">
        <f>CONCATENATE("@ ",TEXT(D56,"£#,###")," avg per student")</f>
        <v>@ £5,470 avg per student</v>
      </c>
    </row>
    <row r="57" spans="1:7" hidden="1">
      <c r="A57" s="102" t="s">
        <v>175</v>
      </c>
      <c r="B57" s="103">
        <f>'Table 3.1'!B6</f>
        <v>147920</v>
      </c>
      <c r="C57" s="184">
        <f>'Table 3.1'!B7</f>
        <v>882.72776399999998</v>
      </c>
      <c r="D57" s="110">
        <f>'Table 3.1'!B8</f>
        <v>5970</v>
      </c>
      <c r="E57" s="105" t="str">
        <f>CONCATENATE(TEXT(B57,"#,###")," supported students")</f>
        <v>147,920 supported students</v>
      </c>
      <c r="F57" s="105" t="str">
        <f>CONCATENATE(TEXT(C57,"£#,###.0")," million @ ",TEXT(D57,"£#,###")," per student")</f>
        <v>£882.7 million @ £5,970 per student</v>
      </c>
    </row>
    <row r="58" spans="1:7" hidden="1">
      <c r="A58" s="102" t="s">
        <v>177</v>
      </c>
      <c r="B58" s="103">
        <f>'Table 4.1'!I5</f>
        <v>19470</v>
      </c>
      <c r="C58" s="184">
        <f>'Table 4.1'!I6</f>
        <v>15.704480999999999</v>
      </c>
      <c r="D58" s="110">
        <f>'Table 4.1'!I7</f>
        <v>810</v>
      </c>
      <c r="E58" s="105" t="str">
        <f>CONCATENATE(TEXT(B58,"#,###")," supported students")</f>
        <v>19,470 supported students</v>
      </c>
      <c r="F58" s="105" t="str">
        <f>CONCATENATE(TEXT(C58,"£#,###.0")," million @ ",TEXT(D58,"£#,###")," per student")</f>
        <v>£15.7 million @ £810 per student</v>
      </c>
    </row>
    <row r="59" spans="1:7" hidden="1">
      <c r="A59" s="102" t="s">
        <v>176</v>
      </c>
      <c r="B59" s="103">
        <f>'Table 5.1'!H6</f>
        <v>9015</v>
      </c>
      <c r="C59" s="184">
        <f>'Table 5.1'!H7</f>
        <v>66.940554000000006</v>
      </c>
      <c r="D59" s="110">
        <f>'Table 5.1'!H8</f>
        <v>7430</v>
      </c>
      <c r="E59" s="105" t="str">
        <f>CONCATENATE(TEXT(B59,"#,###")," supported students")</f>
        <v>9,015 supported students</v>
      </c>
      <c r="F59" s="105" t="str">
        <f>CONCATENATE(TEXT(C59,"£#,###.0")," million @ ",TEXT(D59,"£#,###")," per student")</f>
        <v>£66.9 million @ £7,430 per student</v>
      </c>
    </row>
    <row r="60" spans="1:7" hidden="1">
      <c r="A60" s="102" t="s">
        <v>207</v>
      </c>
      <c r="B60" s="103">
        <f>'Table 6.1'!M6+'Table 6.1'!M11</f>
        <v>16295</v>
      </c>
      <c r="C60" s="184">
        <f>'Table 6.1'!M7+'Table 6.1'!M12</f>
        <v>16.64</v>
      </c>
      <c r="D60" s="110">
        <f>MROUND(C60*1000000/B60,10)</f>
        <v>1020</v>
      </c>
      <c r="E60" s="105" t="str">
        <f>CONCATENATE(TEXT(B60,"#,###")," instances of assistance")</f>
        <v>16,295 instances of assistance</v>
      </c>
      <c r="F60" s="105" t="str">
        <f>CONCATENATE(TEXT(C60,"£#,###.0")," million @ ",TEXT(D60,"£#,###")," per instance of support")</f>
        <v>£16.6 million @ £1,020 per instance of support</v>
      </c>
    </row>
    <row r="61" spans="1:7" hidden="1">
      <c r="A61" s="102"/>
    </row>
    <row r="62" spans="1:7" hidden="1">
      <c r="A62" s="217" t="str">
        <f>CONCATENATE("Nursing and Midwifery Bursary Scheme - provisional data ",LEFT('Table 5.1'!H4,7))</f>
        <v>Nursing and Midwifery Bursary Scheme - provisional data 2017-18</v>
      </c>
      <c r="B62" s="100"/>
    </row>
    <row r="63" spans="1:7" hidden="1">
      <c r="A63" s="217" t="str">
        <f>CONCATENATE("Discretionary and Discretionary Childcare Fund schemes: assessment of applications and issuing of amounts as administered by institutions, ",'Table 6.1'!M4," results")</f>
        <v>Discretionary and Discretionary Childcare Fund schemes: assessment of applications and issuing of amounts as administered by institutions, 2016-17 results</v>
      </c>
      <c r="B63" s="100"/>
    </row>
    <row r="64" spans="1:7" hidden="1">
      <c r="A64" s="225" t="s">
        <v>208</v>
      </c>
      <c r="B64" s="100"/>
    </row>
    <row r="65" spans="1:2">
      <c r="A65" s="102"/>
      <c r="B65" s="100"/>
    </row>
  </sheetData>
  <hyperlinks>
    <hyperlink ref="K1" location="Contents!A1" display="&gt;&gt; Contents"/>
  </hyperlinks>
  <pageMargins left="0.39370078740157483" right="0.39370078740157483" top="0.39370078740157483" bottom="0.39370078740157483" header="0" footer="0"/>
  <pageSetup paperSize="9" scale="69" fitToHeight="0" orientation="portrait" r:id="rId1"/>
  <headerFooter>
    <oddFooter>&amp;C&amp;"Calibri,Regular"&amp;KFF0000RESTRICTED STATISTICS Not for release until 25 October 2016</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002060"/>
    <pageSetUpPr fitToPage="1"/>
  </sheetPr>
  <dimension ref="A1:S26"/>
  <sheetViews>
    <sheetView showGridLines="0" zoomScaleNormal="100" workbookViewId="0"/>
  </sheetViews>
  <sheetFormatPr defaultColWidth="10.7109375" defaultRowHeight="15.75"/>
  <cols>
    <col min="1" max="1" width="41.42578125" style="1" customWidth="1"/>
    <col min="2" max="4" width="10" style="1" customWidth="1"/>
    <col min="5" max="5" width="2.42578125" style="1" customWidth="1"/>
    <col min="6" max="6" width="10" style="1" customWidth="1"/>
    <col min="7" max="7" width="10" style="1" hidden="1" customWidth="1"/>
    <col min="8" max="8" width="10" style="1" customWidth="1"/>
    <col min="9" max="9" width="2.42578125" style="1" customWidth="1"/>
    <col min="10" max="10" width="10" style="1" customWidth="1"/>
    <col min="11" max="11" width="10" style="1" hidden="1" customWidth="1"/>
    <col min="12" max="12" width="10" style="1" customWidth="1"/>
    <col min="13" max="13" width="2.42578125" style="1" customWidth="1"/>
    <col min="14" max="14" width="10" style="1" customWidth="1"/>
    <col min="15" max="15" width="10" style="1" hidden="1" customWidth="1"/>
    <col min="16" max="16" width="10" style="1" customWidth="1"/>
    <col min="17" max="16384" width="10.7109375" style="1"/>
  </cols>
  <sheetData>
    <row r="1" spans="1:19" ht="23.25">
      <c r="A1" s="138" t="str">
        <f>Contents!A1</f>
        <v>Higher Education Student Support in Scotland 2017-18</v>
      </c>
      <c r="B1" s="139"/>
      <c r="C1" s="139"/>
      <c r="D1" s="139"/>
      <c r="E1" s="139"/>
      <c r="F1" s="139"/>
      <c r="G1" s="139"/>
      <c r="H1" s="139"/>
      <c r="I1" s="139"/>
      <c r="J1" s="139"/>
      <c r="K1" s="139"/>
      <c r="L1" s="139"/>
      <c r="M1" s="139"/>
      <c r="N1" s="139"/>
      <c r="O1" s="139"/>
      <c r="P1" s="140" t="s">
        <v>186</v>
      </c>
    </row>
    <row r="2" spans="1:19" ht="18.75">
      <c r="A2" s="60" t="str">
        <f ca="1">CONCATENATE(REPLACE(CELL("Filename",A2),1,FIND("]",CELL("filename",A2)),""),": Full-time students household income by type of support")</f>
        <v>Table A6: Full-time students household income by type of support</v>
      </c>
      <c r="B2" s="33"/>
      <c r="C2" s="33"/>
      <c r="D2" s="33"/>
      <c r="E2" s="33"/>
      <c r="F2" s="33"/>
      <c r="G2" s="33"/>
      <c r="H2" s="33"/>
      <c r="I2" s="33"/>
      <c r="J2" s="33"/>
      <c r="K2" s="33"/>
      <c r="L2" s="33"/>
      <c r="M2" s="33"/>
      <c r="N2" s="33"/>
      <c r="O2" s="33"/>
      <c r="P2" s="59"/>
    </row>
    <row r="3" spans="1:19">
      <c r="A3" s="172"/>
    </row>
    <row r="4" spans="1:19" ht="22.5" customHeight="1">
      <c r="A4" s="28"/>
      <c r="B4" s="331" t="s">
        <v>40</v>
      </c>
      <c r="C4" s="331"/>
      <c r="D4" s="331"/>
      <c r="E4" s="86"/>
      <c r="F4" s="331" t="s">
        <v>164</v>
      </c>
      <c r="G4" s="331"/>
      <c r="H4" s="331"/>
      <c r="I4" s="29"/>
      <c r="J4" s="331" t="s">
        <v>41</v>
      </c>
      <c r="K4" s="331"/>
      <c r="L4" s="331"/>
      <c r="M4" s="29"/>
      <c r="N4" s="331" t="s">
        <v>42</v>
      </c>
      <c r="O4" s="331"/>
      <c r="P4" s="331"/>
    </row>
    <row r="5" spans="1:19" ht="47.25">
      <c r="A5" s="30"/>
      <c r="B5" s="31" t="s">
        <v>21</v>
      </c>
      <c r="C5" s="31" t="s">
        <v>130</v>
      </c>
      <c r="D5" s="31" t="s">
        <v>43</v>
      </c>
      <c r="E5" s="87"/>
      <c r="F5" s="31" t="s">
        <v>21</v>
      </c>
      <c r="G5" s="31" t="s">
        <v>130</v>
      </c>
      <c r="H5" s="31" t="s">
        <v>43</v>
      </c>
      <c r="I5" s="31"/>
      <c r="J5" s="31" t="s">
        <v>21</v>
      </c>
      <c r="K5" s="31" t="s">
        <v>130</v>
      </c>
      <c r="L5" s="31" t="s">
        <v>43</v>
      </c>
      <c r="M5" s="31"/>
      <c r="N5" s="31" t="s">
        <v>21</v>
      </c>
      <c r="O5" s="31" t="s">
        <v>130</v>
      </c>
      <c r="P5" s="31" t="s">
        <v>43</v>
      </c>
    </row>
    <row r="6" spans="1:19" s="2" customFormat="1" ht="18.75" customHeight="1">
      <c r="A6" s="236" t="s">
        <v>67</v>
      </c>
      <c r="B6" s="41">
        <v>147920</v>
      </c>
      <c r="C6" s="119">
        <v>882.72776399999998</v>
      </c>
      <c r="D6" s="41">
        <v>5970</v>
      </c>
      <c r="E6" s="237"/>
      <c r="F6" s="41">
        <v>53620</v>
      </c>
      <c r="G6" s="119">
        <v>76.328935000000001</v>
      </c>
      <c r="H6" s="41">
        <v>1420</v>
      </c>
      <c r="I6" s="41"/>
      <c r="J6" s="41">
        <v>140240</v>
      </c>
      <c r="K6" s="119">
        <v>278.04942299999999</v>
      </c>
      <c r="L6" s="41">
        <v>1980</v>
      </c>
      <c r="M6" s="41"/>
      <c r="N6" s="41">
        <v>99895</v>
      </c>
      <c r="O6" s="119">
        <v>528.35638100000006</v>
      </c>
      <c r="P6" s="41">
        <v>5290</v>
      </c>
    </row>
    <row r="7" spans="1:19" ht="18.75" customHeight="1">
      <c r="A7" s="21" t="s">
        <v>230</v>
      </c>
      <c r="B7" s="46">
        <v>104510</v>
      </c>
      <c r="C7" s="123">
        <v>555.23653100000001</v>
      </c>
      <c r="D7" s="46">
        <v>5310</v>
      </c>
      <c r="E7" s="64"/>
      <c r="F7" s="18">
        <v>16990</v>
      </c>
      <c r="G7" s="126">
        <v>24.707965000000002</v>
      </c>
      <c r="H7" s="46">
        <v>1450</v>
      </c>
      <c r="I7" s="18"/>
      <c r="J7" s="18">
        <v>99520</v>
      </c>
      <c r="K7" s="126">
        <v>202.575232</v>
      </c>
      <c r="L7" s="46">
        <v>2040</v>
      </c>
      <c r="M7" s="18"/>
      <c r="N7" s="18">
        <v>65135</v>
      </c>
      <c r="O7" s="126">
        <v>327.95420899999999</v>
      </c>
      <c r="P7" s="46">
        <v>5030</v>
      </c>
    </row>
    <row r="8" spans="1:19" ht="18.75" customHeight="1">
      <c r="A8" s="254" t="s">
        <v>282</v>
      </c>
      <c r="B8" s="238">
        <v>11625</v>
      </c>
      <c r="C8" s="239">
        <v>107.694254</v>
      </c>
      <c r="D8" s="238">
        <v>9260</v>
      </c>
      <c r="E8" s="240"/>
      <c r="F8" s="241">
        <v>11630</v>
      </c>
      <c r="G8" s="242">
        <v>14.754963999999999</v>
      </c>
      <c r="H8" s="238">
        <v>1270</v>
      </c>
      <c r="I8" s="241"/>
      <c r="J8" s="241">
        <v>11535</v>
      </c>
      <c r="K8" s="242">
        <v>20.533149999999999</v>
      </c>
      <c r="L8" s="238">
        <v>1780</v>
      </c>
      <c r="M8" s="241"/>
      <c r="N8" s="241">
        <v>10870</v>
      </c>
      <c r="O8" s="242">
        <v>72.407015000000001</v>
      </c>
      <c r="P8" s="238">
        <v>6660</v>
      </c>
    </row>
    <row r="9" spans="1:19" ht="18.75" customHeight="1">
      <c r="A9" s="255" t="s">
        <v>283</v>
      </c>
      <c r="B9" s="244">
        <v>545</v>
      </c>
      <c r="C9" s="245">
        <v>4.8311479999999998</v>
      </c>
      <c r="D9" s="244">
        <v>8860</v>
      </c>
      <c r="E9" s="246"/>
      <c r="F9" s="247">
        <v>545</v>
      </c>
      <c r="G9" s="248">
        <v>3.9474089999999999</v>
      </c>
      <c r="H9" s="244">
        <v>7240</v>
      </c>
      <c r="I9" s="247"/>
      <c r="J9" s="247">
        <v>510</v>
      </c>
      <c r="K9" s="248">
        <v>0.88373900000000005</v>
      </c>
      <c r="L9" s="244">
        <v>1730</v>
      </c>
      <c r="M9" s="247"/>
      <c r="N9" s="261" t="s">
        <v>19</v>
      </c>
      <c r="O9" s="260" t="s">
        <v>19</v>
      </c>
      <c r="P9" s="317" t="s">
        <v>19</v>
      </c>
    </row>
    <row r="10" spans="1:19" ht="18.75" customHeight="1">
      <c r="A10" s="255" t="s">
        <v>284</v>
      </c>
      <c r="B10" s="244">
        <v>1920</v>
      </c>
      <c r="C10" s="245">
        <v>6.780392</v>
      </c>
      <c r="D10" s="244">
        <v>3530</v>
      </c>
      <c r="E10" s="246"/>
      <c r="F10" s="247">
        <v>1920</v>
      </c>
      <c r="G10" s="248">
        <v>1.5413190000000001</v>
      </c>
      <c r="H10" s="244">
        <v>800</v>
      </c>
      <c r="I10" s="247"/>
      <c r="J10" s="247">
        <v>1100</v>
      </c>
      <c r="K10" s="248">
        <v>1.7211160000000001</v>
      </c>
      <c r="L10" s="244">
        <v>1560</v>
      </c>
      <c r="M10" s="247"/>
      <c r="N10" s="247">
        <v>535</v>
      </c>
      <c r="O10" s="248">
        <v>3.517957</v>
      </c>
      <c r="P10" s="244">
        <v>6580</v>
      </c>
    </row>
    <row r="11" spans="1:19" ht="18.75" customHeight="1">
      <c r="A11" s="256" t="s">
        <v>229</v>
      </c>
      <c r="B11" s="249">
        <v>90420</v>
      </c>
      <c r="C11" s="250">
        <v>435.93073700000002</v>
      </c>
      <c r="D11" s="249">
        <v>4820</v>
      </c>
      <c r="E11" s="251"/>
      <c r="F11" s="252">
        <v>2900</v>
      </c>
      <c r="G11" s="253">
        <v>4.4642730000000004</v>
      </c>
      <c r="H11" s="249">
        <v>1540</v>
      </c>
      <c r="I11" s="252"/>
      <c r="J11" s="252">
        <v>86370</v>
      </c>
      <c r="K11" s="253">
        <v>179.43722700000001</v>
      </c>
      <c r="L11" s="249">
        <v>2080</v>
      </c>
      <c r="M11" s="252"/>
      <c r="N11" s="252">
        <v>53730</v>
      </c>
      <c r="O11" s="253">
        <v>252.02923699999999</v>
      </c>
      <c r="P11" s="249">
        <v>4690</v>
      </c>
    </row>
    <row r="12" spans="1:19" ht="18.75" customHeight="1">
      <c r="A12" s="21" t="s">
        <v>251</v>
      </c>
      <c r="B12" s="46">
        <v>26465</v>
      </c>
      <c r="C12" s="123">
        <v>210.25186199999999</v>
      </c>
      <c r="D12" s="46">
        <v>7940</v>
      </c>
      <c r="E12" s="64"/>
      <c r="F12" s="18">
        <v>24675</v>
      </c>
      <c r="G12" s="126">
        <v>41.720306000000001</v>
      </c>
      <c r="H12" s="46">
        <v>1690</v>
      </c>
      <c r="I12" s="18"/>
      <c r="J12" s="18">
        <v>24610</v>
      </c>
      <c r="K12" s="126">
        <v>44.573169</v>
      </c>
      <c r="L12" s="46">
        <v>1810</v>
      </c>
      <c r="M12" s="18"/>
      <c r="N12" s="18">
        <v>20985</v>
      </c>
      <c r="O12" s="126">
        <v>123.96448700000001</v>
      </c>
      <c r="P12" s="46">
        <v>5910</v>
      </c>
      <c r="R12" s="295"/>
      <c r="S12" s="295"/>
    </row>
    <row r="13" spans="1:19" ht="18.75" customHeight="1">
      <c r="A13" s="21" t="s">
        <v>252</v>
      </c>
      <c r="B13" s="46">
        <v>5840</v>
      </c>
      <c r="C13" s="123">
        <v>42.755792</v>
      </c>
      <c r="D13" s="46">
        <v>7320</v>
      </c>
      <c r="E13" s="64"/>
      <c r="F13" s="18">
        <v>4850</v>
      </c>
      <c r="G13" s="126">
        <v>5.6419370000000004</v>
      </c>
      <c r="H13" s="46">
        <v>1160</v>
      </c>
      <c r="I13" s="18"/>
      <c r="J13" s="18">
        <v>5525</v>
      </c>
      <c r="K13" s="126">
        <v>9.9257559999999998</v>
      </c>
      <c r="L13" s="46">
        <v>1800</v>
      </c>
      <c r="M13" s="18"/>
      <c r="N13" s="18">
        <v>4690</v>
      </c>
      <c r="O13" s="126">
        <v>27.188099000000001</v>
      </c>
      <c r="P13" s="46">
        <v>5800</v>
      </c>
    </row>
    <row r="14" spans="1:19" ht="18.75" customHeight="1">
      <c r="A14" s="21" t="s">
        <v>184</v>
      </c>
      <c r="B14" s="46">
        <v>8150</v>
      </c>
      <c r="C14" s="123">
        <v>56.477137999999997</v>
      </c>
      <c r="D14" s="46">
        <v>6930</v>
      </c>
      <c r="E14" s="64"/>
      <c r="F14" s="18">
        <v>6860</v>
      </c>
      <c r="G14" s="126">
        <v>3.963724</v>
      </c>
      <c r="H14" s="46">
        <v>580</v>
      </c>
      <c r="I14" s="18"/>
      <c r="J14" s="18">
        <v>7725</v>
      </c>
      <c r="K14" s="126">
        <v>14.388951</v>
      </c>
      <c r="L14" s="46">
        <v>1860</v>
      </c>
      <c r="M14" s="18"/>
      <c r="N14" s="18">
        <v>6710</v>
      </c>
      <c r="O14" s="126">
        <v>38.124462999999999</v>
      </c>
      <c r="P14" s="46">
        <v>5680</v>
      </c>
    </row>
    <row r="15" spans="1:19" ht="18.75" customHeight="1">
      <c r="A15" s="24" t="s">
        <v>185</v>
      </c>
      <c r="B15" s="49">
        <v>2955</v>
      </c>
      <c r="C15" s="124">
        <v>18.006440999999999</v>
      </c>
      <c r="D15" s="49">
        <v>6090</v>
      </c>
      <c r="E15" s="65"/>
      <c r="F15" s="25">
        <v>245</v>
      </c>
      <c r="G15" s="127">
        <v>0.29500300000000002</v>
      </c>
      <c r="H15" s="49">
        <v>1200</v>
      </c>
      <c r="I15" s="25"/>
      <c r="J15" s="25">
        <v>2860</v>
      </c>
      <c r="K15" s="127">
        <v>6.5863149999999999</v>
      </c>
      <c r="L15" s="49">
        <v>2300</v>
      </c>
      <c r="M15" s="25"/>
      <c r="N15" s="25">
        <v>2375</v>
      </c>
      <c r="O15" s="127">
        <v>11.125123</v>
      </c>
      <c r="P15" s="49">
        <v>4680</v>
      </c>
      <c r="S15" s="295"/>
    </row>
    <row r="16" spans="1:19">
      <c r="A16" s="5"/>
      <c r="B16" s="301"/>
      <c r="C16" s="136"/>
      <c r="D16" s="136"/>
      <c r="E16" s="136"/>
      <c r="F16" s="136"/>
      <c r="G16" s="136"/>
      <c r="H16" s="136"/>
      <c r="I16" s="136"/>
      <c r="J16" s="136"/>
      <c r="K16" s="136"/>
      <c r="L16" s="136"/>
      <c r="M16" s="136"/>
      <c r="N16" s="136"/>
      <c r="O16" s="136"/>
      <c r="P16" s="136"/>
    </row>
    <row r="17" spans="1:4">
      <c r="A17" s="5"/>
      <c r="B17" s="295"/>
      <c r="C17" s="295"/>
      <c r="D17" s="295"/>
    </row>
    <row r="18" spans="1:4">
      <c r="A18" s="88" t="s">
        <v>44</v>
      </c>
      <c r="B18" s="295"/>
      <c r="C18" s="295"/>
    </row>
    <row r="19" spans="1:4">
      <c r="A19" s="5"/>
      <c r="B19" s="295"/>
    </row>
    <row r="20" spans="1:4">
      <c r="A20" s="5" t="s">
        <v>127</v>
      </c>
    </row>
    <row r="21" spans="1:4">
      <c r="A21" s="5" t="s">
        <v>126</v>
      </c>
    </row>
    <row r="22" spans="1:4">
      <c r="A22" s="5"/>
    </row>
    <row r="23" spans="1:4">
      <c r="A23" s="5" t="s">
        <v>187</v>
      </c>
    </row>
    <row r="24" spans="1:4">
      <c r="A24" s="5" t="s">
        <v>188</v>
      </c>
    </row>
    <row r="25" spans="1:4">
      <c r="A25" s="1" t="s">
        <v>189</v>
      </c>
    </row>
    <row r="26" spans="1:4">
      <c r="A26" s="1" t="s">
        <v>190</v>
      </c>
    </row>
  </sheetData>
  <mergeCells count="4">
    <mergeCell ref="N4:P4"/>
    <mergeCell ref="B4:D4"/>
    <mergeCell ref="F4:H4"/>
    <mergeCell ref="J4:L4"/>
  </mergeCells>
  <phoneticPr fontId="3" type="noConversion"/>
  <hyperlinks>
    <hyperlink ref="P1" location="Contents!A1" display="&gt;&gt; Contents"/>
  </hyperlinks>
  <pageMargins left="0.39370078740157483" right="0.39370078740157483" top="0.39370078740157483" bottom="0.39370078740157483" header="0" footer="0"/>
  <pageSetup paperSize="9" scale="83" fitToHeight="0" orientation="landscape" r:id="rId1"/>
  <headerFooter>
    <oddFooter>&amp;C&amp;"Calibri,Regular"&amp;KFF0000RESTRICTED STATISTICS Not for release until 30 October 2018</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2060"/>
    <pageSetUpPr fitToPage="1"/>
  </sheetPr>
  <dimension ref="A1:S27"/>
  <sheetViews>
    <sheetView showGridLines="0" zoomScaleNormal="100" workbookViewId="0"/>
  </sheetViews>
  <sheetFormatPr defaultColWidth="10.7109375" defaultRowHeight="15.75"/>
  <cols>
    <col min="1" max="1" width="21.28515625" style="1" customWidth="1"/>
    <col min="2" max="3" width="0" style="1" hidden="1" customWidth="1"/>
    <col min="4" max="16384" width="10.7109375" style="1"/>
  </cols>
  <sheetData>
    <row r="1" spans="1:19" ht="23.25">
      <c r="A1" s="138" t="str">
        <f>Contents!A1</f>
        <v>Higher Education Student Support in Scotland 2017-18</v>
      </c>
      <c r="B1" s="139"/>
      <c r="C1" s="139"/>
      <c r="D1" s="139"/>
      <c r="E1" s="139"/>
      <c r="F1" s="139"/>
      <c r="G1" s="139"/>
      <c r="H1" s="139"/>
      <c r="I1" s="139"/>
      <c r="J1" s="139"/>
      <c r="K1" s="140"/>
      <c r="L1" s="140"/>
      <c r="M1" s="140" t="s">
        <v>70</v>
      </c>
    </row>
    <row r="2" spans="1:19" ht="18.75">
      <c r="A2" s="60" t="str">
        <f ca="1">CONCATENATE(REPLACE(CELL("Filename",A2),1,FIND("]",CELL("filename",A2)),""),": Full-time students qualification type and domicile of student")</f>
        <v>Table A7: Full-time students qualification type and domicile of student</v>
      </c>
      <c r="B2" s="33"/>
      <c r="C2" s="33"/>
      <c r="D2" s="33"/>
      <c r="E2" s="33"/>
      <c r="F2" s="33"/>
      <c r="G2" s="33"/>
      <c r="H2" s="33"/>
      <c r="I2" s="33"/>
      <c r="J2" s="33"/>
      <c r="K2" s="59"/>
      <c r="L2" s="59"/>
      <c r="M2" s="59"/>
    </row>
    <row r="3" spans="1:19">
      <c r="A3" s="172"/>
    </row>
    <row r="4" spans="1:19" ht="22.5" customHeight="1">
      <c r="A4" s="4" t="s">
        <v>77</v>
      </c>
      <c r="B4" s="13" t="s">
        <v>23</v>
      </c>
      <c r="C4" s="13" t="s">
        <v>24</v>
      </c>
      <c r="D4" s="13" t="s">
        <v>27</v>
      </c>
      <c r="E4" s="13" t="s">
        <v>28</v>
      </c>
      <c r="F4" s="13" t="s">
        <v>15</v>
      </c>
      <c r="G4" s="13" t="s">
        <v>59</v>
      </c>
      <c r="H4" s="13" t="s">
        <v>1</v>
      </c>
      <c r="I4" s="13" t="s">
        <v>61</v>
      </c>
      <c r="J4" s="13" t="s">
        <v>169</v>
      </c>
      <c r="K4" s="13" t="s">
        <v>233</v>
      </c>
      <c r="L4" s="13" t="s">
        <v>246</v>
      </c>
      <c r="M4" s="13" t="s">
        <v>253</v>
      </c>
      <c r="O4" s="93"/>
      <c r="P4" s="330"/>
      <c r="Q4" s="330"/>
      <c r="R4" s="93"/>
      <c r="S4" s="93"/>
    </row>
    <row r="5" spans="1:19" ht="18.75" customHeight="1">
      <c r="A5" s="14" t="s">
        <v>29</v>
      </c>
      <c r="B5" s="41">
        <v>120525</v>
      </c>
      <c r="C5" s="41">
        <v>121235</v>
      </c>
      <c r="D5" s="41">
        <v>124845</v>
      </c>
      <c r="E5" s="41">
        <v>130680</v>
      </c>
      <c r="F5" s="41">
        <v>133175</v>
      </c>
      <c r="G5" s="41">
        <v>133990</v>
      </c>
      <c r="H5" s="41">
        <v>135375</v>
      </c>
      <c r="I5" s="41">
        <v>137270</v>
      </c>
      <c r="J5" s="41">
        <v>139370</v>
      </c>
      <c r="K5" s="41">
        <v>141235</v>
      </c>
      <c r="L5" s="41">
        <v>143500</v>
      </c>
      <c r="M5" s="41">
        <v>147920</v>
      </c>
      <c r="O5" s="94"/>
      <c r="P5" s="95"/>
      <c r="Q5" s="96"/>
      <c r="R5" s="94"/>
      <c r="S5" s="94"/>
    </row>
    <row r="6" spans="1:19" ht="18.75" customHeight="1">
      <c r="A6" s="6" t="s">
        <v>2</v>
      </c>
      <c r="B6" s="15">
        <v>4290</v>
      </c>
      <c r="C6" s="15">
        <v>5085</v>
      </c>
      <c r="D6" s="15">
        <v>4755</v>
      </c>
      <c r="E6" s="15">
        <v>4290</v>
      </c>
      <c r="F6" s="15">
        <v>3925</v>
      </c>
      <c r="G6" s="15">
        <v>3775</v>
      </c>
      <c r="H6" s="15">
        <v>3440</v>
      </c>
      <c r="I6" s="15">
        <v>3640</v>
      </c>
      <c r="J6" s="15">
        <v>3595</v>
      </c>
      <c r="K6" s="15">
        <v>4155</v>
      </c>
      <c r="L6" s="15">
        <v>5365</v>
      </c>
      <c r="M6" s="15">
        <v>8285</v>
      </c>
      <c r="N6" s="208"/>
      <c r="O6" s="94"/>
      <c r="P6" s="95"/>
      <c r="Q6" s="96"/>
      <c r="R6" s="94"/>
      <c r="S6" s="94"/>
    </row>
    <row r="7" spans="1:19" ht="18.75" customHeight="1">
      <c r="A7" s="42" t="s">
        <v>3</v>
      </c>
      <c r="B7" s="43">
        <v>88830</v>
      </c>
      <c r="C7" s="43">
        <v>88680</v>
      </c>
      <c r="D7" s="43">
        <v>92090</v>
      </c>
      <c r="E7" s="43">
        <v>95895</v>
      </c>
      <c r="F7" s="43">
        <v>96930</v>
      </c>
      <c r="G7" s="43">
        <v>97510</v>
      </c>
      <c r="H7" s="43">
        <v>99300</v>
      </c>
      <c r="I7" s="43">
        <v>100055</v>
      </c>
      <c r="J7" s="43">
        <v>101675</v>
      </c>
      <c r="K7" s="43">
        <v>102980</v>
      </c>
      <c r="L7" s="43">
        <v>104035</v>
      </c>
      <c r="M7" s="43">
        <v>105495</v>
      </c>
      <c r="N7" s="208"/>
      <c r="O7" s="94"/>
      <c r="P7" s="95"/>
      <c r="Q7" s="96"/>
      <c r="R7" s="94"/>
      <c r="S7" s="94"/>
    </row>
    <row r="8" spans="1:19" ht="18.75" customHeight="1">
      <c r="A8" s="16" t="s">
        <v>80</v>
      </c>
      <c r="B8" s="17">
        <v>27395</v>
      </c>
      <c r="C8" s="17">
        <v>27460</v>
      </c>
      <c r="D8" s="17">
        <v>27955</v>
      </c>
      <c r="E8" s="17">
        <v>30460</v>
      </c>
      <c r="F8" s="17">
        <v>32320</v>
      </c>
      <c r="G8" s="17">
        <v>32705</v>
      </c>
      <c r="H8" s="17">
        <v>32635</v>
      </c>
      <c r="I8" s="17">
        <v>33575</v>
      </c>
      <c r="J8" s="17">
        <v>34100</v>
      </c>
      <c r="K8" s="17">
        <v>33865</v>
      </c>
      <c r="L8" s="17">
        <v>34100</v>
      </c>
      <c r="M8" s="17">
        <v>34140</v>
      </c>
      <c r="N8" s="208"/>
      <c r="O8" s="94"/>
      <c r="P8" s="95"/>
      <c r="Q8" s="96"/>
      <c r="R8" s="94"/>
      <c r="S8" s="94"/>
    </row>
    <row r="9" spans="1:19" ht="18.75" customHeight="1">
      <c r="B9" s="136"/>
      <c r="C9" s="136"/>
      <c r="D9" s="136"/>
      <c r="E9" s="136"/>
      <c r="F9" s="136"/>
      <c r="G9" s="136"/>
      <c r="H9" s="136"/>
      <c r="I9" s="136"/>
      <c r="J9" s="136"/>
      <c r="K9" s="136"/>
      <c r="L9" s="136"/>
      <c r="M9" s="136"/>
      <c r="N9" s="91"/>
      <c r="O9" s="94"/>
      <c r="P9" s="95"/>
      <c r="Q9" s="96"/>
    </row>
    <row r="10" spans="1:19" ht="18.75" customHeight="1">
      <c r="A10" s="2" t="s">
        <v>30</v>
      </c>
      <c r="B10" s="44">
        <v>114660</v>
      </c>
      <c r="C10" s="44">
        <v>114850</v>
      </c>
      <c r="D10" s="44">
        <v>115300</v>
      </c>
      <c r="E10" s="44">
        <v>119660</v>
      </c>
      <c r="F10" s="44">
        <v>121855</v>
      </c>
      <c r="G10" s="44">
        <v>122115</v>
      </c>
      <c r="H10" s="44">
        <v>121990</v>
      </c>
      <c r="I10" s="44">
        <v>123725</v>
      </c>
      <c r="J10" s="44">
        <v>124930</v>
      </c>
      <c r="K10" s="44">
        <v>126290</v>
      </c>
      <c r="L10" s="44">
        <v>128710</v>
      </c>
      <c r="M10" s="44">
        <v>132680</v>
      </c>
      <c r="N10" s="306"/>
      <c r="O10" s="94"/>
      <c r="P10" s="95"/>
      <c r="Q10" s="96"/>
      <c r="R10" s="94"/>
      <c r="S10" s="94"/>
    </row>
    <row r="11" spans="1:19" ht="18.75" customHeight="1">
      <c r="A11" s="21" t="s">
        <v>2</v>
      </c>
      <c r="B11" s="18">
        <v>3900</v>
      </c>
      <c r="C11" s="18">
        <v>4700</v>
      </c>
      <c r="D11" s="18">
        <v>4290</v>
      </c>
      <c r="E11" s="18">
        <v>3795</v>
      </c>
      <c r="F11" s="18">
        <v>3390</v>
      </c>
      <c r="G11" s="18">
        <v>3105</v>
      </c>
      <c r="H11" s="18">
        <v>2965</v>
      </c>
      <c r="I11" s="18">
        <v>3180</v>
      </c>
      <c r="J11" s="18">
        <v>3080</v>
      </c>
      <c r="K11" s="18">
        <v>3540</v>
      </c>
      <c r="L11" s="18">
        <v>4740</v>
      </c>
      <c r="M11" s="18">
        <v>7335</v>
      </c>
      <c r="N11" s="208"/>
      <c r="O11" s="94"/>
      <c r="P11" s="95"/>
      <c r="Q11" s="96"/>
      <c r="R11" s="94"/>
      <c r="S11" s="94"/>
    </row>
    <row r="12" spans="1:19" ht="18.75" customHeight="1">
      <c r="A12" s="21" t="s">
        <v>3</v>
      </c>
      <c r="B12" s="18">
        <v>83650</v>
      </c>
      <c r="C12" s="18">
        <v>83045</v>
      </c>
      <c r="D12" s="18">
        <v>83585</v>
      </c>
      <c r="E12" s="18">
        <v>85920</v>
      </c>
      <c r="F12" s="18">
        <v>86665</v>
      </c>
      <c r="G12" s="18">
        <v>86720</v>
      </c>
      <c r="H12" s="18">
        <v>86770</v>
      </c>
      <c r="I12" s="18">
        <v>87455</v>
      </c>
      <c r="J12" s="18">
        <v>88250</v>
      </c>
      <c r="K12" s="18">
        <v>89495</v>
      </c>
      <c r="L12" s="18">
        <v>90450</v>
      </c>
      <c r="M12" s="18">
        <v>91850</v>
      </c>
      <c r="N12" s="208"/>
      <c r="O12" s="94"/>
      <c r="P12" s="95"/>
      <c r="Q12" s="96"/>
      <c r="R12" s="94"/>
      <c r="S12" s="94"/>
    </row>
    <row r="13" spans="1:19" ht="18.75" customHeight="1">
      <c r="A13" s="21" t="s">
        <v>80</v>
      </c>
      <c r="B13" s="18">
        <v>27100</v>
      </c>
      <c r="C13" s="18">
        <v>27095</v>
      </c>
      <c r="D13" s="18">
        <v>27385</v>
      </c>
      <c r="E13" s="18">
        <v>29915</v>
      </c>
      <c r="F13" s="18">
        <v>31800</v>
      </c>
      <c r="G13" s="18">
        <v>32290</v>
      </c>
      <c r="H13" s="18">
        <v>32255</v>
      </c>
      <c r="I13" s="18">
        <v>33090</v>
      </c>
      <c r="J13" s="18">
        <v>33595</v>
      </c>
      <c r="K13" s="18">
        <v>33255</v>
      </c>
      <c r="L13" s="18">
        <v>33525</v>
      </c>
      <c r="M13" s="18">
        <v>33495</v>
      </c>
      <c r="N13" s="208"/>
      <c r="O13" s="94"/>
      <c r="P13" s="95"/>
      <c r="Q13" s="96"/>
      <c r="R13" s="94"/>
      <c r="S13" s="94"/>
    </row>
    <row r="14" spans="1:19" ht="18.75" customHeight="1">
      <c r="B14" s="136"/>
      <c r="C14" s="136"/>
      <c r="D14" s="136"/>
      <c r="E14" s="136"/>
      <c r="F14" s="136"/>
      <c r="G14" s="136"/>
      <c r="H14" s="136"/>
      <c r="I14" s="136"/>
      <c r="J14" s="136"/>
      <c r="K14" s="136"/>
      <c r="L14" s="136"/>
      <c r="M14" s="136"/>
      <c r="N14" s="91"/>
    </row>
    <row r="15" spans="1:19" ht="18.75" customHeight="1">
      <c r="A15" s="2" t="s">
        <v>31</v>
      </c>
      <c r="B15" s="44">
        <v>5865</v>
      </c>
      <c r="C15" s="44">
        <v>6385</v>
      </c>
      <c r="D15" s="44">
        <v>9545</v>
      </c>
      <c r="E15" s="44">
        <v>11020</v>
      </c>
      <c r="F15" s="44">
        <v>11320</v>
      </c>
      <c r="G15" s="44">
        <v>11870</v>
      </c>
      <c r="H15" s="44">
        <v>13385</v>
      </c>
      <c r="I15" s="44">
        <v>13550</v>
      </c>
      <c r="J15" s="44">
        <v>14440</v>
      </c>
      <c r="K15" s="44">
        <v>14705</v>
      </c>
      <c r="L15" s="44">
        <v>14785</v>
      </c>
      <c r="M15" s="44">
        <v>15240</v>
      </c>
      <c r="N15" s="91"/>
      <c r="O15" s="94"/>
      <c r="P15" s="95"/>
      <c r="Q15" s="96"/>
      <c r="R15" s="94"/>
      <c r="S15" s="94"/>
    </row>
    <row r="16" spans="1:19" ht="18.75" customHeight="1">
      <c r="A16" s="21" t="s">
        <v>2</v>
      </c>
      <c r="B16" s="18">
        <v>390</v>
      </c>
      <c r="C16" s="18">
        <v>385</v>
      </c>
      <c r="D16" s="18">
        <v>465</v>
      </c>
      <c r="E16" s="18">
        <v>495</v>
      </c>
      <c r="F16" s="18">
        <v>535</v>
      </c>
      <c r="G16" s="18">
        <v>670</v>
      </c>
      <c r="H16" s="18">
        <v>475</v>
      </c>
      <c r="I16" s="18">
        <v>465</v>
      </c>
      <c r="J16" s="18">
        <v>515</v>
      </c>
      <c r="K16" s="18">
        <v>610</v>
      </c>
      <c r="L16" s="18">
        <v>625</v>
      </c>
      <c r="M16" s="18">
        <v>950</v>
      </c>
      <c r="N16" s="208"/>
      <c r="O16" s="94"/>
      <c r="P16" s="95"/>
      <c r="Q16" s="96"/>
      <c r="R16" s="94"/>
      <c r="S16" s="94"/>
    </row>
    <row r="17" spans="1:19" ht="18.75" customHeight="1">
      <c r="A17" s="7" t="s">
        <v>3</v>
      </c>
      <c r="B17" s="22">
        <v>5180</v>
      </c>
      <c r="C17" s="22">
        <v>5635</v>
      </c>
      <c r="D17" s="22">
        <v>8505</v>
      </c>
      <c r="E17" s="22">
        <v>9975</v>
      </c>
      <c r="F17" s="22">
        <v>10265</v>
      </c>
      <c r="G17" s="22">
        <v>10790</v>
      </c>
      <c r="H17" s="22">
        <v>12535</v>
      </c>
      <c r="I17" s="22">
        <v>12600</v>
      </c>
      <c r="J17" s="22">
        <v>13425</v>
      </c>
      <c r="K17" s="22">
        <v>13485</v>
      </c>
      <c r="L17" s="22">
        <v>13585</v>
      </c>
      <c r="M17" s="22">
        <v>13645</v>
      </c>
      <c r="N17" s="208"/>
      <c r="O17" s="94"/>
      <c r="P17" s="95"/>
      <c r="Q17" s="96"/>
      <c r="R17" s="94"/>
      <c r="S17" s="94"/>
    </row>
    <row r="18" spans="1:19" ht="18.75" customHeight="1">
      <c r="A18" s="24" t="s">
        <v>80</v>
      </c>
      <c r="B18" s="25">
        <v>295</v>
      </c>
      <c r="C18" s="25">
        <v>370</v>
      </c>
      <c r="D18" s="25">
        <v>570</v>
      </c>
      <c r="E18" s="25">
        <v>550</v>
      </c>
      <c r="F18" s="25">
        <v>520</v>
      </c>
      <c r="G18" s="25">
        <v>415</v>
      </c>
      <c r="H18" s="25">
        <v>380</v>
      </c>
      <c r="I18" s="25">
        <v>485</v>
      </c>
      <c r="J18" s="25">
        <v>505</v>
      </c>
      <c r="K18" s="25">
        <v>610</v>
      </c>
      <c r="L18" s="25">
        <v>575</v>
      </c>
      <c r="M18" s="25">
        <v>645</v>
      </c>
      <c r="N18" s="208"/>
      <c r="O18" s="94"/>
      <c r="P18" s="95"/>
      <c r="Q18" s="96"/>
      <c r="R18" s="94"/>
      <c r="S18" s="94"/>
    </row>
    <row r="19" spans="1:19">
      <c r="B19" s="136"/>
      <c r="C19" s="136"/>
      <c r="D19" s="136"/>
      <c r="E19" s="136"/>
      <c r="F19" s="136"/>
      <c r="G19" s="136"/>
      <c r="H19" s="136"/>
      <c r="I19" s="136"/>
      <c r="J19" s="136"/>
      <c r="K19" s="136"/>
      <c r="L19" s="136"/>
      <c r="M19" s="136"/>
    </row>
    <row r="20" spans="1:19">
      <c r="K20" s="136"/>
      <c r="L20" s="136"/>
      <c r="M20" s="136"/>
    </row>
    <row r="21" spans="1:19">
      <c r="A21" s="83" t="s">
        <v>44</v>
      </c>
      <c r="B21" s="5"/>
      <c r="C21" s="39"/>
      <c r="D21" s="5"/>
      <c r="E21" s="5"/>
      <c r="F21" s="5"/>
      <c r="G21" s="5"/>
      <c r="K21" s="136"/>
      <c r="L21" s="136"/>
      <c r="M21" s="136"/>
    </row>
    <row r="22" spans="1:19">
      <c r="A22" s="40"/>
      <c r="B22" s="5"/>
      <c r="C22" s="39"/>
      <c r="D22" s="5"/>
      <c r="E22" s="5"/>
      <c r="F22" s="5"/>
      <c r="G22" s="5"/>
    </row>
    <row r="23" spans="1:19" ht="31.5" customHeight="1">
      <c r="A23" s="333" t="s">
        <v>98</v>
      </c>
      <c r="B23" s="333"/>
      <c r="C23" s="333"/>
      <c r="D23" s="333"/>
      <c r="E23" s="333"/>
      <c r="F23" s="333"/>
      <c r="G23" s="333"/>
      <c r="H23" s="333"/>
      <c r="I23" s="333"/>
      <c r="J23" s="333"/>
      <c r="K23" s="333"/>
      <c r="L23" s="333"/>
      <c r="M23" s="333"/>
    </row>
    <row r="24" spans="1:19">
      <c r="A24" s="84"/>
      <c r="B24" s="84"/>
      <c r="C24" s="84"/>
      <c r="D24" s="84"/>
      <c r="E24" s="84"/>
      <c r="F24" s="84"/>
      <c r="G24" s="84"/>
      <c r="H24" s="84"/>
      <c r="I24" s="84"/>
      <c r="J24" s="84"/>
      <c r="K24" s="234"/>
      <c r="L24" s="291"/>
      <c r="M24" s="84"/>
    </row>
    <row r="25" spans="1:19" ht="31.5" customHeight="1">
      <c r="A25" s="334" t="s">
        <v>99</v>
      </c>
      <c r="B25" s="334"/>
      <c r="C25" s="334"/>
      <c r="D25" s="334"/>
      <c r="E25" s="334"/>
      <c r="F25" s="334"/>
      <c r="G25" s="334"/>
      <c r="H25" s="334"/>
      <c r="I25" s="334"/>
      <c r="J25" s="334"/>
      <c r="K25" s="334"/>
      <c r="L25" s="334"/>
      <c r="M25" s="334"/>
    </row>
    <row r="26" spans="1:19">
      <c r="A26" s="85"/>
      <c r="B26" s="84"/>
      <c r="C26" s="84"/>
      <c r="D26" s="84"/>
      <c r="E26" s="84"/>
      <c r="F26" s="84"/>
      <c r="G26" s="84"/>
      <c r="H26" s="84"/>
      <c r="I26" s="84"/>
      <c r="J26" s="84"/>
      <c r="K26" s="234"/>
      <c r="L26" s="291"/>
      <c r="M26" s="84"/>
    </row>
    <row r="27" spans="1:19">
      <c r="A27" s="333" t="s">
        <v>100</v>
      </c>
      <c r="B27" s="333"/>
      <c r="C27" s="333"/>
      <c r="D27" s="333"/>
      <c r="E27" s="333"/>
      <c r="F27" s="333"/>
      <c r="G27" s="333"/>
      <c r="H27" s="333"/>
      <c r="I27" s="333"/>
      <c r="J27" s="333"/>
      <c r="K27" s="333"/>
      <c r="L27" s="333"/>
      <c r="M27" s="333"/>
    </row>
  </sheetData>
  <mergeCells count="4">
    <mergeCell ref="A27:M27"/>
    <mergeCell ref="A23:M23"/>
    <mergeCell ref="A25:M25"/>
    <mergeCell ref="P4:Q4"/>
  </mergeCells>
  <phoneticPr fontId="3" type="noConversion"/>
  <hyperlinks>
    <hyperlink ref="M1" location="Contents!A1" display="&gt;&gt; Contents"/>
  </hyperlinks>
  <pageMargins left="0.39370078740157483" right="0.39370078740157483" top="0.39370078740157483" bottom="0.39370078740157483" header="0" footer="0"/>
  <pageSetup paperSize="9" scale="75" fitToHeight="0" orientation="portrait" r:id="rId1"/>
  <headerFooter>
    <oddFooter>&amp;C&amp;"Calibri,Regular"&amp;KFF0000RESTRICTED STATISTICS Not for release until 25 October 2016</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002060"/>
    <pageSetUpPr fitToPage="1"/>
  </sheetPr>
  <dimension ref="A1:R35"/>
  <sheetViews>
    <sheetView showGridLines="0" zoomScaleNormal="100" workbookViewId="0"/>
  </sheetViews>
  <sheetFormatPr defaultColWidth="10.7109375" defaultRowHeight="15.75"/>
  <cols>
    <col min="1" max="1" width="50" style="1" customWidth="1"/>
    <col min="2" max="2" width="10.7109375" style="1" hidden="1" customWidth="1"/>
    <col min="3" max="3" width="0" style="1" hidden="1" customWidth="1"/>
    <col min="4" max="13" width="10.7109375" style="1"/>
    <col min="14" max="14" width="12.28515625" style="1" bestFit="1" customWidth="1"/>
    <col min="15" max="15" width="12.28515625" style="1" customWidth="1"/>
    <col min="16" max="16384" width="10.7109375" style="1"/>
  </cols>
  <sheetData>
    <row r="1" spans="1:18" ht="23.25">
      <c r="A1" s="138" t="str">
        <f>Contents!A1</f>
        <v>Higher Education Student Support in Scotland 2017-18</v>
      </c>
      <c r="B1" s="139"/>
      <c r="C1" s="139"/>
      <c r="D1" s="139"/>
      <c r="E1" s="139"/>
      <c r="F1" s="139"/>
      <c r="G1" s="139"/>
      <c r="H1" s="139"/>
      <c r="I1" s="139"/>
      <c r="J1" s="139"/>
      <c r="K1" s="140"/>
      <c r="L1" s="140"/>
      <c r="M1" s="140" t="s">
        <v>70</v>
      </c>
    </row>
    <row r="2" spans="1:18" ht="18.75">
      <c r="A2" s="60" t="str">
        <f ca="1">CONCATENATE(REPLACE(CELL("Filename",A2),1,FIND("]",CELL("filename",A2)),""),": Full-time students receiving bursaries and grants (number of students)")</f>
        <v>Table A8: Full-time students receiving bursaries and grants (number of students)</v>
      </c>
      <c r="B2" s="33"/>
      <c r="C2" s="33"/>
      <c r="D2" s="33"/>
      <c r="E2" s="33"/>
      <c r="F2" s="33"/>
      <c r="G2" s="33"/>
      <c r="H2" s="33"/>
      <c r="I2" s="33"/>
      <c r="J2" s="33"/>
      <c r="K2" s="59"/>
      <c r="L2" s="59"/>
      <c r="M2" s="59"/>
    </row>
    <row r="3" spans="1:18">
      <c r="A3" s="172"/>
    </row>
    <row r="4" spans="1:18" ht="22.5" customHeight="1">
      <c r="A4" s="4"/>
      <c r="B4" s="13" t="s">
        <v>23</v>
      </c>
      <c r="C4" s="13" t="s">
        <v>24</v>
      </c>
      <c r="D4" s="13" t="s">
        <v>27</v>
      </c>
      <c r="E4" s="13" t="s">
        <v>28</v>
      </c>
      <c r="F4" s="13" t="s">
        <v>15</v>
      </c>
      <c r="G4" s="13" t="s">
        <v>59</v>
      </c>
      <c r="H4" s="13" t="s">
        <v>1</v>
      </c>
      <c r="I4" s="13" t="s">
        <v>61</v>
      </c>
      <c r="J4" s="13" t="s">
        <v>169</v>
      </c>
      <c r="K4" s="13" t="s">
        <v>233</v>
      </c>
      <c r="L4" s="13" t="s">
        <v>246</v>
      </c>
      <c r="M4" s="13" t="s">
        <v>253</v>
      </c>
      <c r="P4" s="93"/>
      <c r="Q4" s="330"/>
      <c r="R4" s="330"/>
    </row>
    <row r="5" spans="1:18" ht="18.75" customHeight="1">
      <c r="A5" s="14" t="s">
        <v>67</v>
      </c>
      <c r="B5" s="33"/>
      <c r="C5" s="33"/>
      <c r="D5" s="33"/>
      <c r="E5" s="33"/>
      <c r="F5" s="33"/>
      <c r="G5" s="33"/>
      <c r="H5" s="33"/>
      <c r="I5" s="33"/>
      <c r="J5" s="33"/>
      <c r="K5" s="33"/>
      <c r="L5" s="33"/>
      <c r="M5" s="33"/>
      <c r="N5" s="91"/>
      <c r="O5" s="91"/>
      <c r="P5" s="94"/>
      <c r="Q5" s="95"/>
      <c r="R5" s="96"/>
    </row>
    <row r="6" spans="1:18" ht="18.75" customHeight="1">
      <c r="A6" s="16" t="s">
        <v>68</v>
      </c>
      <c r="B6" s="38">
        <v>57825</v>
      </c>
      <c r="C6" s="38">
        <v>58750</v>
      </c>
      <c r="D6" s="38">
        <v>57590</v>
      </c>
      <c r="E6" s="38">
        <v>60870</v>
      </c>
      <c r="F6" s="38">
        <v>68960</v>
      </c>
      <c r="G6" s="38">
        <v>55685</v>
      </c>
      <c r="H6" s="38">
        <v>54130</v>
      </c>
      <c r="I6" s="38">
        <v>53435</v>
      </c>
      <c r="J6" s="38">
        <v>52315</v>
      </c>
      <c r="K6" s="38">
        <v>49815</v>
      </c>
      <c r="L6" s="38">
        <v>52165</v>
      </c>
      <c r="M6" s="38">
        <v>53620</v>
      </c>
      <c r="N6" s="91"/>
      <c r="O6" s="91"/>
      <c r="P6" s="94"/>
      <c r="Q6" s="95"/>
      <c r="R6" s="96"/>
    </row>
    <row r="7" spans="1:18" ht="18.75" customHeight="1">
      <c r="B7" s="207"/>
      <c r="C7" s="207"/>
      <c r="D7" s="207"/>
      <c r="E7" s="207"/>
      <c r="F7" s="207"/>
      <c r="G7" s="207"/>
      <c r="H7" s="207"/>
      <c r="I7" s="207"/>
      <c r="J7" s="207"/>
      <c r="K7" s="207"/>
      <c r="L7" s="207"/>
      <c r="M7" s="207"/>
      <c r="N7" s="91"/>
      <c r="O7" s="91"/>
      <c r="P7" s="94"/>
      <c r="Q7" s="95"/>
      <c r="R7" s="96"/>
    </row>
    <row r="8" spans="1:18" ht="18.75" customHeight="1">
      <c r="A8" s="2" t="s">
        <v>66</v>
      </c>
      <c r="B8" s="19"/>
      <c r="C8" s="19"/>
      <c r="D8" s="19"/>
      <c r="E8" s="19"/>
      <c r="F8" s="19"/>
      <c r="G8" s="19"/>
      <c r="H8" s="19"/>
      <c r="I8" s="19"/>
      <c r="J8" s="19"/>
      <c r="K8" s="19"/>
      <c r="L8" s="19"/>
      <c r="M8" s="19"/>
    </row>
    <row r="9" spans="1:18" ht="18.75" customHeight="1">
      <c r="A9" s="1" t="s">
        <v>276</v>
      </c>
      <c r="B9" s="19"/>
      <c r="C9" s="19"/>
      <c r="D9" s="313" t="s">
        <v>19</v>
      </c>
      <c r="E9" s="313" t="s">
        <v>19</v>
      </c>
      <c r="F9" s="313" t="s">
        <v>19</v>
      </c>
      <c r="G9" s="313" t="s">
        <v>19</v>
      </c>
      <c r="H9" s="313" t="s">
        <v>19</v>
      </c>
      <c r="I9" s="313" t="s">
        <v>19</v>
      </c>
      <c r="J9" s="313" t="s">
        <v>19</v>
      </c>
      <c r="K9" s="313" t="s">
        <v>19</v>
      </c>
      <c r="L9" s="313" t="s">
        <v>19</v>
      </c>
      <c r="M9" s="313">
        <v>545</v>
      </c>
      <c r="N9" s="91"/>
      <c r="O9" s="306"/>
      <c r="Q9" s="95"/>
      <c r="R9" s="96"/>
    </row>
    <row r="10" spans="1:18" ht="18.75" customHeight="1">
      <c r="A10" s="21" t="s">
        <v>60</v>
      </c>
      <c r="B10" s="35" t="s">
        <v>19</v>
      </c>
      <c r="C10" s="35" t="s">
        <v>19</v>
      </c>
      <c r="D10" s="35" t="s">
        <v>19</v>
      </c>
      <c r="E10" s="35" t="s">
        <v>19</v>
      </c>
      <c r="F10" s="35">
        <v>18255</v>
      </c>
      <c r="G10" s="35">
        <v>16755</v>
      </c>
      <c r="H10" s="35">
        <v>15645</v>
      </c>
      <c r="I10" s="35">
        <v>17400</v>
      </c>
      <c r="J10" s="35">
        <v>16985</v>
      </c>
      <c r="K10" s="35">
        <v>16135</v>
      </c>
      <c r="L10" s="35">
        <v>17890</v>
      </c>
      <c r="M10" s="35">
        <v>18735</v>
      </c>
      <c r="N10" s="307"/>
      <c r="O10" s="306"/>
      <c r="P10" s="94"/>
      <c r="Q10" s="95"/>
      <c r="R10" s="96"/>
    </row>
    <row r="11" spans="1:18" ht="18.75" customHeight="1">
      <c r="A11" s="21" t="s">
        <v>124</v>
      </c>
      <c r="B11" s="35">
        <v>31500</v>
      </c>
      <c r="C11" s="35">
        <v>35105</v>
      </c>
      <c r="D11" s="35">
        <v>32430</v>
      </c>
      <c r="E11" s="35">
        <v>33715</v>
      </c>
      <c r="F11" s="35">
        <v>34135</v>
      </c>
      <c r="G11" s="35">
        <v>33285</v>
      </c>
      <c r="H11" s="35">
        <v>33140</v>
      </c>
      <c r="I11" s="35">
        <v>33150</v>
      </c>
      <c r="J11" s="35">
        <v>32310</v>
      </c>
      <c r="K11" s="35">
        <v>30480</v>
      </c>
      <c r="L11" s="35">
        <v>31220</v>
      </c>
      <c r="M11" s="312">
        <v>31120</v>
      </c>
      <c r="N11" s="91"/>
      <c r="O11" s="306"/>
      <c r="P11" s="94"/>
      <c r="Q11" s="95"/>
      <c r="R11" s="96"/>
    </row>
    <row r="12" spans="1:18" ht="18.75" customHeight="1">
      <c r="A12" s="21" t="s">
        <v>125</v>
      </c>
      <c r="B12" s="35">
        <v>795</v>
      </c>
      <c r="C12" s="35">
        <v>860</v>
      </c>
      <c r="D12" s="35">
        <v>120</v>
      </c>
      <c r="E12" s="35">
        <v>20</v>
      </c>
      <c r="F12" s="35">
        <v>5</v>
      </c>
      <c r="G12" s="35" t="s">
        <v>19</v>
      </c>
      <c r="H12" s="35" t="s">
        <v>19</v>
      </c>
      <c r="I12" s="35" t="s">
        <v>19</v>
      </c>
      <c r="J12" s="35" t="s">
        <v>19</v>
      </c>
      <c r="K12" s="35" t="s">
        <v>19</v>
      </c>
      <c r="L12" s="35" t="s">
        <v>19</v>
      </c>
      <c r="M12" s="35" t="s">
        <v>19</v>
      </c>
      <c r="O12" s="91"/>
      <c r="P12" s="94"/>
      <c r="Q12" s="95"/>
      <c r="R12" s="96"/>
    </row>
    <row r="13" spans="1:18" ht="18.75" customHeight="1">
      <c r="A13" s="21" t="s">
        <v>120</v>
      </c>
      <c r="B13" s="35" t="s">
        <v>19</v>
      </c>
      <c r="C13" s="35" t="s">
        <v>19</v>
      </c>
      <c r="D13" s="35">
        <v>1515</v>
      </c>
      <c r="E13" s="35">
        <v>1515</v>
      </c>
      <c r="F13" s="35">
        <v>1535</v>
      </c>
      <c r="G13" s="35">
        <v>1450</v>
      </c>
      <c r="H13" s="35">
        <v>1370</v>
      </c>
      <c r="I13" s="35" t="s">
        <v>19</v>
      </c>
      <c r="J13" s="35" t="s">
        <v>19</v>
      </c>
      <c r="K13" s="35" t="s">
        <v>19</v>
      </c>
      <c r="L13" s="35" t="s">
        <v>19</v>
      </c>
      <c r="M13" s="35" t="s">
        <v>19</v>
      </c>
      <c r="P13" s="94"/>
      <c r="Q13" s="95"/>
      <c r="R13" s="96"/>
    </row>
    <row r="14" spans="1:18" ht="18.75" customHeight="1">
      <c r="A14" s="21" t="s">
        <v>163</v>
      </c>
      <c r="B14" s="35">
        <v>1955</v>
      </c>
      <c r="C14" s="35">
        <v>1965</v>
      </c>
      <c r="D14" s="35">
        <v>1800</v>
      </c>
      <c r="E14" s="35">
        <v>1680</v>
      </c>
      <c r="F14" s="35">
        <v>1560</v>
      </c>
      <c r="G14" s="35">
        <v>1470</v>
      </c>
      <c r="H14" s="35">
        <v>1360</v>
      </c>
      <c r="I14" s="35" t="s">
        <v>19</v>
      </c>
      <c r="J14" s="35" t="s">
        <v>19</v>
      </c>
      <c r="K14" s="35" t="s">
        <v>19</v>
      </c>
      <c r="L14" s="35" t="s">
        <v>19</v>
      </c>
      <c r="M14" s="35" t="s">
        <v>19</v>
      </c>
      <c r="P14" s="94"/>
      <c r="Q14" s="95"/>
      <c r="R14" s="96"/>
    </row>
    <row r="15" spans="1:18" ht="18.75" customHeight="1">
      <c r="B15" s="35"/>
      <c r="C15" s="35"/>
      <c r="D15" s="35"/>
      <c r="E15" s="35"/>
      <c r="F15" s="35"/>
      <c r="G15" s="35"/>
      <c r="H15" s="35"/>
      <c r="I15" s="35"/>
      <c r="J15" s="35"/>
      <c r="K15" s="35"/>
      <c r="L15" s="35"/>
      <c r="M15" s="35"/>
      <c r="P15" s="94"/>
      <c r="Q15" s="95"/>
      <c r="R15" s="96"/>
    </row>
    <row r="16" spans="1:18" ht="18.75" customHeight="1">
      <c r="A16" s="2" t="s">
        <v>162</v>
      </c>
      <c r="B16" s="19"/>
      <c r="C16" s="19"/>
      <c r="D16" s="19"/>
      <c r="E16" s="19"/>
      <c r="F16" s="19"/>
      <c r="G16" s="19"/>
      <c r="H16" s="19"/>
      <c r="I16" s="19"/>
      <c r="J16" s="19"/>
      <c r="K16" s="19"/>
      <c r="L16" s="19"/>
      <c r="M16" s="19"/>
      <c r="P16" s="94"/>
      <c r="Q16" s="95"/>
      <c r="R16" s="96"/>
    </row>
    <row r="17" spans="1:18" ht="18.75" customHeight="1">
      <c r="A17" s="21" t="s">
        <v>121</v>
      </c>
      <c r="B17" s="35">
        <v>475</v>
      </c>
      <c r="C17" s="35">
        <v>430</v>
      </c>
      <c r="D17" s="35">
        <v>305</v>
      </c>
      <c r="E17" s="35">
        <v>315</v>
      </c>
      <c r="F17" s="35">
        <v>310</v>
      </c>
      <c r="G17" s="35">
        <v>310</v>
      </c>
      <c r="H17" s="35">
        <v>285</v>
      </c>
      <c r="I17" s="35">
        <v>415</v>
      </c>
      <c r="J17" s="35">
        <v>425</v>
      </c>
      <c r="K17" s="35">
        <v>250</v>
      </c>
      <c r="L17" s="35">
        <v>220</v>
      </c>
      <c r="M17" s="35">
        <v>230</v>
      </c>
      <c r="P17" s="94"/>
      <c r="Q17" s="95"/>
      <c r="R17" s="96"/>
    </row>
    <row r="18" spans="1:18" ht="18.75" customHeight="1">
      <c r="A18" s="21" t="s">
        <v>11</v>
      </c>
      <c r="B18" s="35">
        <v>3410</v>
      </c>
      <c r="C18" s="35">
        <v>3230</v>
      </c>
      <c r="D18" s="35">
        <v>2630</v>
      </c>
      <c r="E18" s="35">
        <v>2420</v>
      </c>
      <c r="F18" s="35">
        <v>2380</v>
      </c>
      <c r="G18" s="35">
        <v>2315</v>
      </c>
      <c r="H18" s="35">
        <v>2290</v>
      </c>
      <c r="I18" s="35">
        <v>2340</v>
      </c>
      <c r="J18" s="35">
        <v>2595</v>
      </c>
      <c r="K18" s="35">
        <v>2495</v>
      </c>
      <c r="L18" s="35">
        <v>2650</v>
      </c>
      <c r="M18" s="35">
        <v>3185</v>
      </c>
      <c r="P18" s="94"/>
      <c r="Q18" s="95"/>
      <c r="R18" s="96"/>
    </row>
    <row r="19" spans="1:18" ht="18.75" customHeight="1">
      <c r="A19" s="21" t="s">
        <v>259</v>
      </c>
      <c r="B19" s="35">
        <v>2775</v>
      </c>
      <c r="C19" s="35">
        <v>3165</v>
      </c>
      <c r="D19" s="35">
        <v>4065</v>
      </c>
      <c r="E19" s="35">
        <v>4275</v>
      </c>
      <c r="F19" s="35">
        <v>4435</v>
      </c>
      <c r="G19" s="35">
        <v>4495</v>
      </c>
      <c r="H19" s="35">
        <v>4045</v>
      </c>
      <c r="I19" s="35">
        <v>4265</v>
      </c>
      <c r="J19" s="35">
        <v>4270</v>
      </c>
      <c r="K19" s="35">
        <v>4355</v>
      </c>
      <c r="L19" s="35">
        <v>4415</v>
      </c>
      <c r="M19" s="35">
        <v>4655</v>
      </c>
      <c r="N19" s="282"/>
      <c r="O19" s="282"/>
      <c r="P19" s="94"/>
      <c r="Q19" s="95"/>
      <c r="R19" s="96"/>
    </row>
    <row r="20" spans="1:18" ht="18.75" customHeight="1">
      <c r="A20" s="21" t="s">
        <v>10</v>
      </c>
      <c r="B20" s="35">
        <v>34830</v>
      </c>
      <c r="C20" s="35">
        <v>32625</v>
      </c>
      <c r="D20" s="35">
        <v>35150</v>
      </c>
      <c r="E20" s="35">
        <v>39795</v>
      </c>
      <c r="F20" s="35">
        <v>43125</v>
      </c>
      <c r="G20" s="35" t="s">
        <v>19</v>
      </c>
      <c r="H20" s="35" t="s">
        <v>19</v>
      </c>
      <c r="I20" s="35" t="s">
        <v>19</v>
      </c>
      <c r="J20" s="35" t="s">
        <v>19</v>
      </c>
      <c r="K20" s="35" t="s">
        <v>19</v>
      </c>
      <c r="L20" s="35" t="s">
        <v>19</v>
      </c>
      <c r="M20" s="35" t="s">
        <v>19</v>
      </c>
      <c r="P20" s="94"/>
      <c r="Q20" s="95"/>
      <c r="R20" s="96"/>
    </row>
    <row r="21" spans="1:18" ht="18.75" customHeight="1">
      <c r="A21" s="21" t="s">
        <v>116</v>
      </c>
      <c r="B21" s="35">
        <v>1060</v>
      </c>
      <c r="C21" s="35">
        <v>1020</v>
      </c>
      <c r="D21" s="35">
        <v>1055</v>
      </c>
      <c r="E21" s="35">
        <v>1025</v>
      </c>
      <c r="F21" s="35">
        <v>35</v>
      </c>
      <c r="G21" s="35" t="s">
        <v>19</v>
      </c>
      <c r="H21" s="35" t="s">
        <v>19</v>
      </c>
      <c r="I21" s="35" t="s">
        <v>19</v>
      </c>
      <c r="J21" s="35" t="s">
        <v>19</v>
      </c>
      <c r="K21" s="35" t="s">
        <v>19</v>
      </c>
      <c r="L21" s="35" t="s">
        <v>19</v>
      </c>
      <c r="M21" s="35" t="s">
        <v>19</v>
      </c>
      <c r="P21" s="94"/>
      <c r="Q21" s="95"/>
      <c r="R21" s="96"/>
    </row>
    <row r="22" spans="1:18" ht="18.75" customHeight="1">
      <c r="A22" s="21" t="s">
        <v>118</v>
      </c>
      <c r="B22" s="35">
        <v>90</v>
      </c>
      <c r="C22" s="35">
        <v>50</v>
      </c>
      <c r="D22" s="35">
        <v>45</v>
      </c>
      <c r="E22" s="35">
        <v>55</v>
      </c>
      <c r="F22" s="35" t="s">
        <v>19</v>
      </c>
      <c r="G22" s="35" t="s">
        <v>19</v>
      </c>
      <c r="H22" s="35" t="s">
        <v>19</v>
      </c>
      <c r="I22" s="35" t="s">
        <v>19</v>
      </c>
      <c r="J22" s="35" t="s">
        <v>19</v>
      </c>
      <c r="K22" s="35" t="s">
        <v>19</v>
      </c>
      <c r="L22" s="35" t="s">
        <v>19</v>
      </c>
      <c r="M22" s="35" t="s">
        <v>19</v>
      </c>
      <c r="P22" s="94"/>
      <c r="Q22" s="95"/>
      <c r="R22" s="96"/>
    </row>
    <row r="23" spans="1:18" ht="18.75" customHeight="1">
      <c r="A23" s="21" t="s">
        <v>123</v>
      </c>
      <c r="B23" s="35">
        <v>1505</v>
      </c>
      <c r="C23" s="35">
        <v>1450</v>
      </c>
      <c r="D23" s="35">
        <v>1285</v>
      </c>
      <c r="E23" s="35">
        <v>1290</v>
      </c>
      <c r="F23" s="35">
        <v>1295</v>
      </c>
      <c r="G23" s="35" t="s">
        <v>19</v>
      </c>
      <c r="H23" s="35" t="s">
        <v>19</v>
      </c>
      <c r="I23" s="35" t="s">
        <v>19</v>
      </c>
      <c r="J23" s="35" t="s">
        <v>19</v>
      </c>
      <c r="K23" s="35" t="s">
        <v>19</v>
      </c>
      <c r="L23" s="35" t="s">
        <v>19</v>
      </c>
      <c r="M23" s="35" t="s">
        <v>19</v>
      </c>
      <c r="P23" s="94"/>
      <c r="Q23" s="95"/>
      <c r="R23" s="96"/>
    </row>
    <row r="24" spans="1:18" ht="18.75" hidden="1" customHeight="1">
      <c r="A24" s="7" t="s">
        <v>122</v>
      </c>
      <c r="B24" s="11" t="s">
        <v>19</v>
      </c>
      <c r="C24" s="11" t="s">
        <v>19</v>
      </c>
      <c r="D24" s="11" t="s">
        <v>19</v>
      </c>
      <c r="E24" s="11" t="s">
        <v>19</v>
      </c>
      <c r="F24" s="11" t="s">
        <v>19</v>
      </c>
      <c r="G24" s="11" t="s">
        <v>19</v>
      </c>
      <c r="H24" s="11" t="s">
        <v>19</v>
      </c>
      <c r="I24" s="11" t="s">
        <v>19</v>
      </c>
      <c r="J24" s="11" t="s">
        <v>19</v>
      </c>
      <c r="K24" s="11" t="s">
        <v>19</v>
      </c>
      <c r="L24" s="11" t="s">
        <v>19</v>
      </c>
      <c r="M24" s="11" t="s">
        <v>19</v>
      </c>
      <c r="P24" s="94"/>
      <c r="Q24" s="95"/>
      <c r="R24" s="96"/>
    </row>
    <row r="25" spans="1:18" ht="18.75" customHeight="1">
      <c r="B25" s="35"/>
      <c r="C25" s="35"/>
      <c r="D25" s="35"/>
      <c r="E25" s="35"/>
      <c r="F25" s="35"/>
      <c r="G25" s="35"/>
      <c r="H25" s="35"/>
      <c r="I25" s="35"/>
      <c r="J25" s="35"/>
      <c r="K25" s="35"/>
      <c r="L25" s="35"/>
      <c r="M25" s="35"/>
    </row>
    <row r="26" spans="1:18" ht="18.75" customHeight="1">
      <c r="A26" s="2" t="s">
        <v>33</v>
      </c>
      <c r="B26" s="19"/>
      <c r="C26" s="19"/>
      <c r="D26" s="19"/>
      <c r="E26" s="19"/>
      <c r="F26" s="19"/>
      <c r="G26" s="19"/>
      <c r="H26" s="19"/>
      <c r="I26" s="19"/>
      <c r="J26" s="19"/>
      <c r="K26" s="19"/>
      <c r="L26" s="19"/>
      <c r="M26" s="19"/>
    </row>
    <row r="27" spans="1:18" ht="18.75" customHeight="1">
      <c r="A27" s="21" t="s">
        <v>13</v>
      </c>
      <c r="B27" s="35">
        <v>125</v>
      </c>
      <c r="C27" s="35">
        <v>100</v>
      </c>
      <c r="D27" s="35">
        <v>75</v>
      </c>
      <c r="E27" s="35">
        <v>45</v>
      </c>
      <c r="F27" s="35">
        <v>40</v>
      </c>
      <c r="G27" s="35">
        <v>600</v>
      </c>
      <c r="H27" s="35">
        <v>605</v>
      </c>
      <c r="I27" s="35">
        <v>795</v>
      </c>
      <c r="J27" s="35">
        <v>650</v>
      </c>
      <c r="K27" s="35" t="s">
        <v>262</v>
      </c>
      <c r="L27" s="35">
        <v>555</v>
      </c>
      <c r="M27" s="35">
        <v>555</v>
      </c>
      <c r="P27" s="94"/>
      <c r="Q27" s="95"/>
      <c r="R27" s="96"/>
    </row>
    <row r="28" spans="1:18" ht="18.75" customHeight="1">
      <c r="A28" s="24" t="s">
        <v>14</v>
      </c>
      <c r="B28" s="37">
        <v>65</v>
      </c>
      <c r="C28" s="37">
        <v>35</v>
      </c>
      <c r="D28" s="37">
        <v>75</v>
      </c>
      <c r="E28" s="37">
        <v>100</v>
      </c>
      <c r="F28" s="37">
        <v>110</v>
      </c>
      <c r="G28" s="37" t="s">
        <v>19</v>
      </c>
      <c r="H28" s="37" t="s">
        <v>19</v>
      </c>
      <c r="I28" s="37" t="s">
        <v>19</v>
      </c>
      <c r="J28" s="37" t="s">
        <v>19</v>
      </c>
      <c r="K28" s="37" t="s">
        <v>19</v>
      </c>
      <c r="L28" s="37" t="s">
        <v>19</v>
      </c>
      <c r="M28" s="37" t="s">
        <v>19</v>
      </c>
      <c r="P28" s="94"/>
      <c r="Q28" s="95"/>
      <c r="R28" s="96"/>
    </row>
    <row r="29" spans="1:18" ht="18.75" customHeight="1">
      <c r="A29" s="336" t="s">
        <v>263</v>
      </c>
      <c r="B29" s="336"/>
      <c r="C29" s="336"/>
      <c r="D29" s="336"/>
      <c r="E29" s="336"/>
      <c r="F29" s="336"/>
      <c r="G29" s="336"/>
      <c r="H29" s="336"/>
      <c r="I29" s="336"/>
      <c r="J29" s="336"/>
      <c r="K29" s="336"/>
      <c r="L29" s="336"/>
      <c r="M29" s="336"/>
      <c r="P29" s="94"/>
      <c r="Q29" s="95"/>
      <c r="R29" s="96"/>
    </row>
    <row r="30" spans="1:18" ht="47.25" customHeight="1">
      <c r="A30" s="335" t="s">
        <v>261</v>
      </c>
      <c r="B30" s="335"/>
      <c r="C30" s="335"/>
      <c r="D30" s="335"/>
      <c r="E30" s="335"/>
      <c r="F30" s="335"/>
      <c r="G30" s="335"/>
      <c r="H30" s="335"/>
      <c r="I30" s="335"/>
      <c r="J30" s="335"/>
      <c r="K30" s="335"/>
      <c r="L30" s="335"/>
      <c r="M30" s="335"/>
    </row>
    <row r="31" spans="1:18" s="9" customFormat="1">
      <c r="L31" s="208"/>
      <c r="M31" s="208"/>
    </row>
    <row r="32" spans="1:18" s="9" customFormat="1">
      <c r="A32" s="69" t="s">
        <v>44</v>
      </c>
    </row>
    <row r="33" spans="1:9" s="9" customFormat="1">
      <c r="B33" s="22"/>
      <c r="C33" s="22"/>
      <c r="D33" s="22"/>
      <c r="E33" s="22"/>
      <c r="F33" s="22"/>
      <c r="G33" s="22"/>
      <c r="H33" s="22"/>
      <c r="I33" s="22"/>
    </row>
    <row r="34" spans="1:9">
      <c r="A34" s="5" t="s">
        <v>117</v>
      </c>
    </row>
    <row r="35" spans="1:9">
      <c r="A35" s="5" t="s">
        <v>119</v>
      </c>
    </row>
  </sheetData>
  <mergeCells count="3">
    <mergeCell ref="Q4:R4"/>
    <mergeCell ref="A30:M30"/>
    <mergeCell ref="A29:M29"/>
  </mergeCells>
  <phoneticPr fontId="3" type="noConversion"/>
  <hyperlinks>
    <hyperlink ref="M1" location="Contents!A1" display="&gt;&gt; Contents"/>
  </hyperlinks>
  <pageMargins left="0.39370078740157483" right="0.39370078740157483" top="0.39370078740157483" bottom="0.39370078740157483" header="0" footer="0"/>
  <pageSetup paperSize="9" scale="61" fitToHeight="0" orientation="portrait" r:id="rId1"/>
  <headerFooter>
    <oddFooter>&amp;C&amp;"Calibri,Regular"&amp;KFF0000RESTRICTED STATISTICS Not for release until 25 October 2016</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002060"/>
    <pageSetUpPr fitToPage="1"/>
  </sheetPr>
  <dimension ref="A1:Q65"/>
  <sheetViews>
    <sheetView showGridLines="0" zoomScaleNormal="100" workbookViewId="0"/>
  </sheetViews>
  <sheetFormatPr defaultColWidth="10.7109375" defaultRowHeight="15.75"/>
  <cols>
    <col min="1" max="1" width="50" style="1" customWidth="1"/>
    <col min="2" max="3" width="0" style="1" hidden="1" customWidth="1"/>
    <col min="4" max="16384" width="10.7109375" style="1"/>
  </cols>
  <sheetData>
    <row r="1" spans="1:17" ht="23.25">
      <c r="A1" s="138" t="str">
        <f>Contents!A1</f>
        <v>Higher Education Student Support in Scotland 2017-18</v>
      </c>
      <c r="B1" s="139"/>
      <c r="C1" s="139"/>
      <c r="D1" s="139"/>
      <c r="E1" s="139"/>
      <c r="F1" s="139"/>
      <c r="G1" s="139"/>
      <c r="H1" s="139"/>
      <c r="I1" s="139"/>
      <c r="J1" s="139"/>
      <c r="K1" s="140"/>
      <c r="L1" s="140"/>
      <c r="M1" s="140" t="s">
        <v>70</v>
      </c>
    </row>
    <row r="2" spans="1:17" ht="18.75">
      <c r="A2" s="60" t="str">
        <f ca="1">CONCATENATE(REPLACE(CELL("Filename",A2),1,FIND("]",CELL("filename",A2)),""),": Full-time students receiving bursaries and grants (amount £ million)")</f>
        <v>Table A9: Full-time students receiving bursaries and grants (amount £ million)</v>
      </c>
      <c r="B2" s="33"/>
      <c r="C2" s="33"/>
      <c r="D2" s="33"/>
      <c r="E2" s="33"/>
      <c r="F2" s="33"/>
      <c r="G2" s="33"/>
      <c r="H2" s="33"/>
      <c r="I2" s="33"/>
      <c r="J2" s="33"/>
      <c r="K2" s="59"/>
      <c r="L2" s="59"/>
      <c r="M2" s="59"/>
    </row>
    <row r="3" spans="1:17">
      <c r="A3" s="172"/>
    </row>
    <row r="4" spans="1:17" ht="22.5" customHeight="1">
      <c r="A4" s="4"/>
      <c r="B4" s="13" t="s">
        <v>23</v>
      </c>
      <c r="C4" s="13" t="s">
        <v>24</v>
      </c>
      <c r="D4" s="13" t="s">
        <v>27</v>
      </c>
      <c r="E4" s="13" t="s">
        <v>28</v>
      </c>
      <c r="F4" s="13" t="s">
        <v>15</v>
      </c>
      <c r="G4" s="13" t="s">
        <v>59</v>
      </c>
      <c r="H4" s="13" t="s">
        <v>1</v>
      </c>
      <c r="I4" s="13" t="s">
        <v>61</v>
      </c>
      <c r="J4" s="13" t="s">
        <v>169</v>
      </c>
      <c r="K4" s="13" t="s">
        <v>233</v>
      </c>
      <c r="L4" s="13" t="s">
        <v>246</v>
      </c>
      <c r="M4" s="13" t="s">
        <v>253</v>
      </c>
      <c r="O4" s="93"/>
      <c r="P4" s="330"/>
      <c r="Q4" s="330"/>
    </row>
    <row r="5" spans="1:17" ht="18.75" customHeight="1">
      <c r="A5" s="14" t="s">
        <v>67</v>
      </c>
      <c r="B5" s="33"/>
      <c r="C5" s="33"/>
      <c r="D5" s="33"/>
      <c r="E5" s="33"/>
      <c r="F5" s="33"/>
      <c r="G5" s="33"/>
      <c r="H5" s="33"/>
      <c r="I5" s="33"/>
      <c r="J5" s="33"/>
      <c r="K5" s="33"/>
      <c r="L5" s="33"/>
      <c r="M5" s="33"/>
      <c r="O5" s="94"/>
      <c r="P5" s="95"/>
      <c r="Q5" s="96"/>
    </row>
    <row r="6" spans="1:17" ht="18.75" customHeight="1">
      <c r="A6" s="16" t="s">
        <v>68</v>
      </c>
      <c r="B6" s="159">
        <v>80.087000000000003</v>
      </c>
      <c r="C6" s="159">
        <v>99.825000000000003</v>
      </c>
      <c r="D6" s="159">
        <v>104.97499999999999</v>
      </c>
      <c r="E6" s="159">
        <v>111.47499999999999</v>
      </c>
      <c r="F6" s="159">
        <v>127.672</v>
      </c>
      <c r="G6" s="159">
        <v>103.435</v>
      </c>
      <c r="H6" s="159">
        <v>100.57299999999999</v>
      </c>
      <c r="I6" s="159">
        <v>64.876999999999995</v>
      </c>
      <c r="J6" s="159">
        <v>63.624000000000002</v>
      </c>
      <c r="K6" s="159">
        <v>66.138000000000005</v>
      </c>
      <c r="L6" s="159">
        <v>70.093338000000003</v>
      </c>
      <c r="M6" s="159">
        <v>76.328935000000001</v>
      </c>
      <c r="O6" s="94"/>
      <c r="P6" s="95"/>
      <c r="Q6" s="96"/>
    </row>
    <row r="7" spans="1:17" ht="18.75" customHeight="1">
      <c r="B7" s="207"/>
      <c r="C7" s="207"/>
      <c r="D7" s="207"/>
      <c r="E7" s="207"/>
      <c r="F7" s="207"/>
      <c r="G7" s="207"/>
      <c r="H7" s="207"/>
      <c r="I7" s="207"/>
      <c r="J7" s="207"/>
      <c r="K7" s="207"/>
      <c r="L7" s="207"/>
      <c r="M7" s="207"/>
      <c r="O7" s="94"/>
      <c r="P7" s="95"/>
      <c r="Q7" s="96"/>
    </row>
    <row r="8" spans="1:17" ht="18.75" customHeight="1">
      <c r="A8" s="2" t="s">
        <v>66</v>
      </c>
      <c r="B8" s="161" t="s">
        <v>165</v>
      </c>
      <c r="C8" s="161" t="s">
        <v>165</v>
      </c>
      <c r="D8" s="161" t="s">
        <v>165</v>
      </c>
      <c r="E8" s="161" t="s">
        <v>165</v>
      </c>
      <c r="F8" s="161" t="s">
        <v>165</v>
      </c>
      <c r="G8" s="161" t="s">
        <v>165</v>
      </c>
      <c r="H8" s="161" t="s">
        <v>165</v>
      </c>
      <c r="I8" s="161" t="s">
        <v>165</v>
      </c>
      <c r="J8" s="161" t="s">
        <v>165</v>
      </c>
      <c r="K8" s="161" t="s">
        <v>165</v>
      </c>
      <c r="L8" s="161" t="s">
        <v>165</v>
      </c>
      <c r="M8" s="161" t="s">
        <v>165</v>
      </c>
    </row>
    <row r="9" spans="1:17">
      <c r="A9" s="1" t="s">
        <v>276</v>
      </c>
      <c r="D9" s="314" t="s">
        <v>19</v>
      </c>
      <c r="E9" s="314" t="s">
        <v>19</v>
      </c>
      <c r="F9" s="314" t="s">
        <v>19</v>
      </c>
      <c r="G9" s="314" t="s">
        <v>19</v>
      </c>
      <c r="H9" s="314" t="s">
        <v>19</v>
      </c>
      <c r="I9" s="314" t="s">
        <v>19</v>
      </c>
      <c r="J9" s="314" t="s">
        <v>19</v>
      </c>
      <c r="K9" s="314" t="s">
        <v>19</v>
      </c>
      <c r="L9" s="314" t="s">
        <v>19</v>
      </c>
      <c r="M9" s="160">
        <v>3.8313220000000001</v>
      </c>
      <c r="O9" s="94"/>
      <c r="P9" s="95"/>
      <c r="Q9" s="96"/>
    </row>
    <row r="10" spans="1:17" ht="18.75" customHeight="1">
      <c r="A10" s="21" t="s">
        <v>60</v>
      </c>
      <c r="B10" s="160" t="s">
        <v>19</v>
      </c>
      <c r="C10" s="160" t="s">
        <v>19</v>
      </c>
      <c r="D10" s="160" t="s">
        <v>19</v>
      </c>
      <c r="E10" s="160" t="s">
        <v>19</v>
      </c>
      <c r="F10" s="160">
        <v>17.065999999999999</v>
      </c>
      <c r="G10" s="160">
        <v>15.467000000000001</v>
      </c>
      <c r="H10" s="160">
        <v>14.496</v>
      </c>
      <c r="I10" s="160">
        <v>12.349</v>
      </c>
      <c r="J10" s="160">
        <v>12.055999999999999</v>
      </c>
      <c r="K10" s="160">
        <v>11.504</v>
      </c>
      <c r="L10" s="160">
        <v>14.790422</v>
      </c>
      <c r="M10" s="160">
        <v>15.414129000000001</v>
      </c>
      <c r="O10" s="94"/>
      <c r="P10" s="95"/>
      <c r="Q10" s="96"/>
    </row>
    <row r="11" spans="1:17" ht="18.75" customHeight="1">
      <c r="A11" s="21" t="s">
        <v>124</v>
      </c>
      <c r="B11" s="160">
        <v>45.531999999999996</v>
      </c>
      <c r="C11" s="160">
        <v>65.355000000000004</v>
      </c>
      <c r="D11" s="160">
        <v>64.475999999999999</v>
      </c>
      <c r="E11" s="160">
        <v>69.144000000000005</v>
      </c>
      <c r="F11" s="160">
        <v>70.519000000000005</v>
      </c>
      <c r="G11" s="160">
        <v>69.644999999999996</v>
      </c>
      <c r="H11" s="160">
        <v>69.715999999999994</v>
      </c>
      <c r="I11" s="160">
        <v>40.631</v>
      </c>
      <c r="J11" s="160">
        <v>39.896999999999998</v>
      </c>
      <c r="K11" s="160">
        <v>38.213000000000001</v>
      </c>
      <c r="L11" s="160">
        <v>43.433869000000001</v>
      </c>
      <c r="M11" s="160">
        <v>43.812925999999997</v>
      </c>
      <c r="N11" s="295"/>
      <c r="O11" s="94"/>
      <c r="P11" s="95"/>
      <c r="Q11" s="96"/>
    </row>
    <row r="12" spans="1:17" ht="18.75" customHeight="1">
      <c r="A12" s="21" t="s">
        <v>125</v>
      </c>
      <c r="B12" s="160">
        <v>0.38400000000000001</v>
      </c>
      <c r="C12" s="160">
        <v>0.42799999999999999</v>
      </c>
      <c r="D12" s="160">
        <v>0.06</v>
      </c>
      <c r="E12" s="160">
        <v>1.0999999999999999E-2</v>
      </c>
      <c r="F12" s="160">
        <v>5.0000000000000001E-3</v>
      </c>
      <c r="G12" s="160" t="s">
        <v>19</v>
      </c>
      <c r="H12" s="160" t="s">
        <v>19</v>
      </c>
      <c r="I12" s="160" t="s">
        <v>19</v>
      </c>
      <c r="J12" s="160" t="s">
        <v>19</v>
      </c>
      <c r="K12" s="160" t="s">
        <v>19</v>
      </c>
      <c r="L12" s="160" t="s">
        <v>19</v>
      </c>
      <c r="M12" s="160" t="s">
        <v>19</v>
      </c>
      <c r="O12" s="94"/>
      <c r="P12" s="95"/>
      <c r="Q12" s="96"/>
    </row>
    <row r="13" spans="1:17" ht="18.75" customHeight="1">
      <c r="A13" s="21" t="s">
        <v>120</v>
      </c>
      <c r="B13" s="160" t="s">
        <v>19</v>
      </c>
      <c r="C13" s="160" t="s">
        <v>19</v>
      </c>
      <c r="D13" s="160">
        <v>2.5779999999999998</v>
      </c>
      <c r="E13" s="160">
        <v>2.7</v>
      </c>
      <c r="F13" s="160">
        <v>2.7410000000000001</v>
      </c>
      <c r="G13" s="160">
        <v>2.605</v>
      </c>
      <c r="H13" s="160">
        <v>2.4580000000000002</v>
      </c>
      <c r="I13" s="160" t="s">
        <v>19</v>
      </c>
      <c r="J13" s="160" t="s">
        <v>19</v>
      </c>
      <c r="K13" s="160" t="s">
        <v>19</v>
      </c>
      <c r="L13" s="160" t="s">
        <v>19</v>
      </c>
      <c r="M13" s="160" t="s">
        <v>19</v>
      </c>
      <c r="O13" s="94"/>
      <c r="P13" s="95"/>
      <c r="Q13" s="96"/>
    </row>
    <row r="14" spans="1:17" ht="18.75" customHeight="1">
      <c r="A14" s="21" t="s">
        <v>163</v>
      </c>
      <c r="B14" s="160">
        <v>3.5720000000000001</v>
      </c>
      <c r="C14" s="160">
        <v>3.573</v>
      </c>
      <c r="D14" s="160">
        <v>3.5880000000000001</v>
      </c>
      <c r="E14" s="160">
        <v>3.4820000000000002</v>
      </c>
      <c r="F14" s="160">
        <v>3.1360000000000001</v>
      </c>
      <c r="G14" s="160">
        <v>2.9729999999999999</v>
      </c>
      <c r="H14" s="160">
        <v>2.734</v>
      </c>
      <c r="I14" s="160" t="s">
        <v>19</v>
      </c>
      <c r="J14" s="160" t="s">
        <v>19</v>
      </c>
      <c r="K14" s="160" t="s">
        <v>19</v>
      </c>
      <c r="L14" s="160" t="s">
        <v>19</v>
      </c>
      <c r="M14" s="160" t="s">
        <v>19</v>
      </c>
      <c r="O14" s="94"/>
      <c r="P14" s="95"/>
      <c r="Q14" s="96"/>
    </row>
    <row r="15" spans="1:17" ht="18.75" customHeight="1">
      <c r="B15" s="160" t="s">
        <v>165</v>
      </c>
      <c r="C15" s="160" t="s">
        <v>165</v>
      </c>
      <c r="D15" s="160" t="s">
        <v>165</v>
      </c>
      <c r="E15" s="160" t="s">
        <v>165</v>
      </c>
      <c r="F15" s="160" t="s">
        <v>165</v>
      </c>
      <c r="G15" s="160" t="s">
        <v>165</v>
      </c>
      <c r="H15" s="160" t="s">
        <v>165</v>
      </c>
      <c r="I15" s="160" t="s">
        <v>165</v>
      </c>
      <c r="J15" s="160" t="s">
        <v>165</v>
      </c>
      <c r="K15" s="160" t="s">
        <v>165</v>
      </c>
      <c r="L15" s="160" t="s">
        <v>165</v>
      </c>
      <c r="M15" s="160" t="s">
        <v>165</v>
      </c>
      <c r="O15" s="94"/>
      <c r="P15" s="95"/>
      <c r="Q15" s="96"/>
    </row>
    <row r="16" spans="1:17" ht="18.75" customHeight="1">
      <c r="A16" s="2" t="s">
        <v>162</v>
      </c>
      <c r="B16" s="161" t="s">
        <v>165</v>
      </c>
      <c r="C16" s="161" t="s">
        <v>165</v>
      </c>
      <c r="D16" s="161" t="s">
        <v>165</v>
      </c>
      <c r="E16" s="161" t="s">
        <v>165</v>
      </c>
      <c r="F16" s="161" t="s">
        <v>165</v>
      </c>
      <c r="G16" s="161" t="s">
        <v>165</v>
      </c>
      <c r="H16" s="161" t="s">
        <v>165</v>
      </c>
      <c r="I16" s="161" t="s">
        <v>165</v>
      </c>
      <c r="J16" s="161" t="s">
        <v>165</v>
      </c>
      <c r="K16" s="161" t="s">
        <v>165</v>
      </c>
      <c r="L16" s="161" t="s">
        <v>165</v>
      </c>
      <c r="M16" s="161" t="s">
        <v>165</v>
      </c>
      <c r="O16" s="94"/>
      <c r="P16" s="95"/>
      <c r="Q16" s="96"/>
    </row>
    <row r="17" spans="1:17" ht="18.75" customHeight="1">
      <c r="A17" s="21" t="s">
        <v>121</v>
      </c>
      <c r="B17" s="160">
        <v>0.94</v>
      </c>
      <c r="C17" s="160">
        <v>0.88200000000000001</v>
      </c>
      <c r="D17" s="160">
        <v>0.63700000000000001</v>
      </c>
      <c r="E17" s="160">
        <v>0.64200000000000002</v>
      </c>
      <c r="F17" s="160">
        <v>0.61799999999999999</v>
      </c>
      <c r="G17" s="160">
        <v>0.626</v>
      </c>
      <c r="H17" s="160">
        <v>0.60099999999999998</v>
      </c>
      <c r="I17" s="160">
        <v>0.873</v>
      </c>
      <c r="J17" s="160">
        <v>0.93799999999999994</v>
      </c>
      <c r="K17" s="160">
        <v>0.58699999999999997</v>
      </c>
      <c r="L17" s="160">
        <v>0.51010900000000003</v>
      </c>
      <c r="M17" s="160">
        <v>0.55196500000000004</v>
      </c>
      <c r="N17" s="295"/>
      <c r="O17" s="94"/>
      <c r="P17" s="95"/>
      <c r="Q17" s="96"/>
    </row>
    <row r="18" spans="1:17" ht="18.75" customHeight="1">
      <c r="A18" s="21" t="s">
        <v>11</v>
      </c>
      <c r="B18" s="160">
        <v>3.7480000000000002</v>
      </c>
      <c r="C18" s="160">
        <v>3.6320000000000001</v>
      </c>
      <c r="D18" s="160">
        <v>3.109</v>
      </c>
      <c r="E18" s="160">
        <v>2.9</v>
      </c>
      <c r="F18" s="160">
        <v>2.831</v>
      </c>
      <c r="G18" s="160">
        <v>2.7770000000000001</v>
      </c>
      <c r="H18" s="160">
        <v>2.7570000000000001</v>
      </c>
      <c r="I18" s="160">
        <v>2.8170000000000002</v>
      </c>
      <c r="J18" s="160">
        <v>3.1320000000000001</v>
      </c>
      <c r="K18" s="160">
        <v>3.0190000000000001</v>
      </c>
      <c r="L18" s="160">
        <v>3.1661199999999998</v>
      </c>
      <c r="M18" s="160">
        <v>3.7905229999999999</v>
      </c>
      <c r="O18" s="94"/>
      <c r="P18" s="95"/>
      <c r="Q18" s="96"/>
    </row>
    <row r="19" spans="1:17" ht="18.75" customHeight="1">
      <c r="A19" s="21" t="s">
        <v>259</v>
      </c>
      <c r="B19" s="160">
        <v>6.5119999999999996</v>
      </c>
      <c r="C19" s="160">
        <v>7.0309999999999997</v>
      </c>
      <c r="D19" s="160">
        <v>8.8160000000000007</v>
      </c>
      <c r="E19" s="160">
        <v>8.8719999999999999</v>
      </c>
      <c r="F19" s="160">
        <v>8.4380000000000006</v>
      </c>
      <c r="G19" s="160">
        <v>9.0220000000000002</v>
      </c>
      <c r="H19" s="160">
        <v>7.4870000000000001</v>
      </c>
      <c r="I19" s="160">
        <v>7.7389999999999999</v>
      </c>
      <c r="J19" s="160">
        <v>7.2370000000000001</v>
      </c>
      <c r="K19" s="160">
        <v>7.7320000000000002</v>
      </c>
      <c r="L19" s="160">
        <v>7.8541530000000002</v>
      </c>
      <c r="M19" s="160">
        <v>8.5539799999999993</v>
      </c>
      <c r="N19" s="295"/>
      <c r="O19" s="94"/>
      <c r="P19" s="95"/>
      <c r="Q19" s="96"/>
    </row>
    <row r="20" spans="1:17" ht="18.75" customHeight="1">
      <c r="A20" s="21" t="s">
        <v>10</v>
      </c>
      <c r="B20" s="160">
        <v>14.555</v>
      </c>
      <c r="C20" s="160">
        <v>14.177</v>
      </c>
      <c r="D20" s="160">
        <v>16.559999999999999</v>
      </c>
      <c r="E20" s="160">
        <v>18.693999999999999</v>
      </c>
      <c r="F20" s="160">
        <v>20.588999999999999</v>
      </c>
      <c r="G20" s="160" t="s">
        <v>19</v>
      </c>
      <c r="H20" s="160" t="s">
        <v>19</v>
      </c>
      <c r="I20" s="160" t="s">
        <v>19</v>
      </c>
      <c r="J20" s="160" t="s">
        <v>19</v>
      </c>
      <c r="K20" s="160" t="s">
        <v>19</v>
      </c>
      <c r="L20" s="160" t="s">
        <v>19</v>
      </c>
      <c r="M20" s="160" t="s">
        <v>19</v>
      </c>
      <c r="O20" s="94"/>
      <c r="P20" s="95"/>
      <c r="Q20" s="96"/>
    </row>
    <row r="21" spans="1:17" ht="18.75" customHeight="1">
      <c r="A21" s="21" t="s">
        <v>116</v>
      </c>
      <c r="B21" s="160">
        <v>2.972</v>
      </c>
      <c r="C21" s="160">
        <v>2.9929999999999999</v>
      </c>
      <c r="D21" s="160">
        <v>3.48</v>
      </c>
      <c r="E21" s="160">
        <v>3.3220000000000001</v>
      </c>
      <c r="F21" s="160">
        <v>0.111</v>
      </c>
      <c r="G21" s="160" t="s">
        <v>19</v>
      </c>
      <c r="H21" s="160" t="s">
        <v>19</v>
      </c>
      <c r="I21" s="160" t="s">
        <v>19</v>
      </c>
      <c r="J21" s="160" t="s">
        <v>19</v>
      </c>
      <c r="K21" s="160" t="s">
        <v>19</v>
      </c>
      <c r="L21" s="160" t="s">
        <v>19</v>
      </c>
      <c r="M21" s="160" t="s">
        <v>19</v>
      </c>
      <c r="O21" s="94"/>
      <c r="P21" s="95"/>
      <c r="Q21" s="96"/>
    </row>
    <row r="22" spans="1:17" ht="18.75" customHeight="1">
      <c r="A22" s="21" t="s">
        <v>118</v>
      </c>
      <c r="B22" s="160">
        <v>0.22500000000000001</v>
      </c>
      <c r="C22" s="160">
        <v>0.13</v>
      </c>
      <c r="D22" s="160">
        <v>0.14299999999999999</v>
      </c>
      <c r="E22" s="160">
        <v>0.129</v>
      </c>
      <c r="F22" s="160" t="s">
        <v>19</v>
      </c>
      <c r="G22" s="160" t="s">
        <v>19</v>
      </c>
      <c r="H22" s="160" t="s">
        <v>19</v>
      </c>
      <c r="I22" s="160" t="s">
        <v>19</v>
      </c>
      <c r="J22" s="160" t="s">
        <v>19</v>
      </c>
      <c r="K22" s="160" t="s">
        <v>19</v>
      </c>
      <c r="L22" s="160" t="s">
        <v>19</v>
      </c>
      <c r="M22" s="160" t="s">
        <v>19</v>
      </c>
      <c r="O22" s="94"/>
      <c r="P22" s="95"/>
      <c r="Q22" s="96"/>
    </row>
    <row r="23" spans="1:17" ht="18.75" customHeight="1">
      <c r="A23" s="21" t="s">
        <v>123</v>
      </c>
      <c r="B23" s="160">
        <v>1.4990000000000001</v>
      </c>
      <c r="C23" s="160">
        <v>1.4950000000000001</v>
      </c>
      <c r="D23" s="160">
        <v>1.407</v>
      </c>
      <c r="E23" s="160">
        <v>1.45</v>
      </c>
      <c r="F23" s="160">
        <v>1.4610000000000001</v>
      </c>
      <c r="G23" s="160" t="s">
        <v>19</v>
      </c>
      <c r="H23" s="160" t="s">
        <v>19</v>
      </c>
      <c r="I23" s="160" t="s">
        <v>19</v>
      </c>
      <c r="J23" s="160" t="s">
        <v>19</v>
      </c>
      <c r="K23" s="160" t="s">
        <v>19</v>
      </c>
      <c r="L23" s="160" t="s">
        <v>19</v>
      </c>
      <c r="M23" s="160" t="s">
        <v>19</v>
      </c>
      <c r="O23" s="94"/>
      <c r="P23" s="95"/>
      <c r="Q23" s="96"/>
    </row>
    <row r="24" spans="1:17" ht="18.75" hidden="1" customHeight="1">
      <c r="A24" s="7" t="s">
        <v>122</v>
      </c>
      <c r="B24" s="149" t="s">
        <v>19</v>
      </c>
      <c r="C24" s="149" t="s">
        <v>19</v>
      </c>
      <c r="D24" s="149" t="s">
        <v>19</v>
      </c>
      <c r="E24" s="149" t="s">
        <v>19</v>
      </c>
      <c r="F24" s="149" t="s">
        <v>19</v>
      </c>
      <c r="G24" s="149" t="s">
        <v>19</v>
      </c>
      <c r="H24" s="149" t="s">
        <v>19</v>
      </c>
      <c r="I24" s="149" t="s">
        <v>19</v>
      </c>
      <c r="J24" s="149" t="s">
        <v>19</v>
      </c>
      <c r="K24" s="149" t="s">
        <v>19</v>
      </c>
      <c r="L24" s="149" t="s">
        <v>19</v>
      </c>
      <c r="M24" s="149" t="s">
        <v>19</v>
      </c>
      <c r="O24" s="94"/>
      <c r="P24" s="95"/>
      <c r="Q24" s="96"/>
    </row>
    <row r="25" spans="1:17" ht="18.75" customHeight="1">
      <c r="B25" s="160" t="s">
        <v>165</v>
      </c>
      <c r="C25" s="160" t="s">
        <v>165</v>
      </c>
      <c r="D25" s="160" t="s">
        <v>165</v>
      </c>
      <c r="E25" s="160" t="s">
        <v>165</v>
      </c>
      <c r="F25" s="160" t="s">
        <v>165</v>
      </c>
      <c r="G25" s="160" t="s">
        <v>165</v>
      </c>
      <c r="H25" s="160" t="s">
        <v>165</v>
      </c>
      <c r="I25" s="160" t="s">
        <v>165</v>
      </c>
      <c r="J25" s="160" t="s">
        <v>165</v>
      </c>
      <c r="K25" s="160" t="s">
        <v>165</v>
      </c>
      <c r="L25" s="160" t="s">
        <v>165</v>
      </c>
      <c r="M25" s="160" t="s">
        <v>165</v>
      </c>
    </row>
    <row r="26" spans="1:17" ht="18.75" customHeight="1">
      <c r="A26" s="2" t="s">
        <v>33</v>
      </c>
      <c r="B26" s="161" t="s">
        <v>165</v>
      </c>
      <c r="C26" s="161" t="s">
        <v>165</v>
      </c>
      <c r="D26" s="161" t="s">
        <v>165</v>
      </c>
      <c r="E26" s="161" t="s">
        <v>165</v>
      </c>
      <c r="F26" s="161" t="s">
        <v>165</v>
      </c>
      <c r="G26" s="161" t="s">
        <v>165</v>
      </c>
      <c r="H26" s="161" t="s">
        <v>165</v>
      </c>
      <c r="I26" s="161" t="s">
        <v>165</v>
      </c>
      <c r="J26" s="161" t="s">
        <v>165</v>
      </c>
      <c r="K26" s="161" t="s">
        <v>165</v>
      </c>
      <c r="L26" s="161" t="s">
        <v>165</v>
      </c>
      <c r="M26" s="161" t="s">
        <v>165</v>
      </c>
    </row>
    <row r="27" spans="1:17" ht="18.75" customHeight="1">
      <c r="A27" s="21" t="s">
        <v>13</v>
      </c>
      <c r="B27" s="160">
        <v>0.11799999999999999</v>
      </c>
      <c r="C27" s="160">
        <v>0.114</v>
      </c>
      <c r="D27" s="160">
        <v>8.6999999999999994E-2</v>
      </c>
      <c r="E27" s="160">
        <v>6.7000000000000004E-2</v>
      </c>
      <c r="F27" s="160">
        <v>9.8000000000000004E-2</v>
      </c>
      <c r="G27" s="160">
        <v>0.32</v>
      </c>
      <c r="H27" s="160">
        <v>0.32500000000000001</v>
      </c>
      <c r="I27" s="160">
        <v>0.46800000000000003</v>
      </c>
      <c r="J27" s="160">
        <v>0.36499999999999999</v>
      </c>
      <c r="K27" s="160" t="s">
        <v>260</v>
      </c>
      <c r="L27" s="160">
        <v>0.33866400000000002</v>
      </c>
      <c r="M27" s="160">
        <v>0.37409900000000001</v>
      </c>
      <c r="N27" s="224"/>
      <c r="O27" s="94"/>
      <c r="P27" s="95"/>
      <c r="Q27" s="96"/>
    </row>
    <row r="28" spans="1:17" ht="18.75" customHeight="1">
      <c r="A28" s="24" t="s">
        <v>14</v>
      </c>
      <c r="B28" s="162">
        <v>2.9000000000000001E-2</v>
      </c>
      <c r="C28" s="162">
        <v>1.4999999999999999E-2</v>
      </c>
      <c r="D28" s="162">
        <v>3.5000000000000003E-2</v>
      </c>
      <c r="E28" s="162">
        <v>6.4000000000000001E-2</v>
      </c>
      <c r="F28" s="162">
        <v>0.06</v>
      </c>
      <c r="G28" s="162" t="s">
        <v>19</v>
      </c>
      <c r="H28" s="162" t="s">
        <v>19</v>
      </c>
      <c r="I28" s="162" t="s">
        <v>19</v>
      </c>
      <c r="J28" s="162" t="s">
        <v>19</v>
      </c>
      <c r="K28" s="162" t="s">
        <v>19</v>
      </c>
      <c r="L28" s="162" t="s">
        <v>19</v>
      </c>
      <c r="M28" s="162" t="s">
        <v>19</v>
      </c>
      <c r="O28" s="94"/>
      <c r="P28" s="95"/>
      <c r="Q28" s="96"/>
    </row>
    <row r="29" spans="1:17" ht="18.75" customHeight="1">
      <c r="A29" s="336" t="s">
        <v>263</v>
      </c>
      <c r="B29" s="336"/>
      <c r="C29" s="336"/>
      <c r="D29" s="336"/>
      <c r="E29" s="336"/>
      <c r="F29" s="336"/>
      <c r="G29" s="336"/>
      <c r="H29" s="336"/>
      <c r="I29" s="336"/>
      <c r="J29" s="336"/>
      <c r="K29" s="336"/>
      <c r="L29" s="336"/>
      <c r="M29" s="336"/>
      <c r="O29" s="94"/>
      <c r="P29" s="95"/>
      <c r="Q29" s="96"/>
    </row>
    <row r="30" spans="1:17" ht="50.25" customHeight="1">
      <c r="A30" s="335" t="s">
        <v>261</v>
      </c>
      <c r="B30" s="335"/>
      <c r="C30" s="335"/>
      <c r="D30" s="335"/>
      <c r="E30" s="335"/>
      <c r="F30" s="335"/>
      <c r="G30" s="335"/>
      <c r="H30" s="335"/>
      <c r="I30" s="335"/>
      <c r="J30" s="335"/>
      <c r="K30" s="335"/>
      <c r="L30" s="335"/>
      <c r="M30" s="335"/>
    </row>
    <row r="31" spans="1:17">
      <c r="B31" s="126" t="s">
        <v>165</v>
      </c>
      <c r="C31" s="126" t="s">
        <v>165</v>
      </c>
      <c r="D31" s="126" t="s">
        <v>165</v>
      </c>
      <c r="E31" s="126" t="s">
        <v>165</v>
      </c>
      <c r="F31" s="126" t="s">
        <v>165</v>
      </c>
      <c r="G31" s="126" t="s">
        <v>165</v>
      </c>
      <c r="H31" s="126" t="s">
        <v>165</v>
      </c>
      <c r="I31" s="126" t="s">
        <v>165</v>
      </c>
      <c r="J31" s="126" t="s">
        <v>165</v>
      </c>
      <c r="K31" s="126" t="s">
        <v>165</v>
      </c>
      <c r="L31" s="126" t="s">
        <v>165</v>
      </c>
      <c r="M31" s="126" t="s">
        <v>165</v>
      </c>
    </row>
    <row r="32" spans="1:17" s="9" customFormat="1">
      <c r="A32" s="69" t="s">
        <v>44</v>
      </c>
      <c r="B32" s="89" t="s">
        <v>165</v>
      </c>
      <c r="C32" s="89" t="s">
        <v>165</v>
      </c>
      <c r="D32" s="89" t="s">
        <v>165</v>
      </c>
      <c r="E32" s="89" t="s">
        <v>165</v>
      </c>
      <c r="F32" s="89" t="s">
        <v>165</v>
      </c>
      <c r="G32" s="89" t="s">
        <v>165</v>
      </c>
      <c r="H32" s="89" t="s">
        <v>165</v>
      </c>
      <c r="I32" s="89" t="s">
        <v>165</v>
      </c>
      <c r="J32" s="89" t="s">
        <v>165</v>
      </c>
      <c r="K32" s="89" t="s">
        <v>165</v>
      </c>
      <c r="L32" s="89" t="s">
        <v>165</v>
      </c>
      <c r="M32" s="89" t="s">
        <v>165</v>
      </c>
    </row>
    <row r="33" spans="1:13" s="9" customFormat="1">
      <c r="B33" s="89" t="s">
        <v>165</v>
      </c>
      <c r="C33" s="89" t="s">
        <v>165</v>
      </c>
      <c r="D33" s="89" t="s">
        <v>165</v>
      </c>
      <c r="E33" s="89" t="s">
        <v>165</v>
      </c>
      <c r="F33" s="89" t="s">
        <v>165</v>
      </c>
      <c r="G33" s="89" t="s">
        <v>165</v>
      </c>
      <c r="H33" s="89" t="s">
        <v>165</v>
      </c>
      <c r="I33" s="89" t="s">
        <v>165</v>
      </c>
      <c r="J33" s="89" t="s">
        <v>165</v>
      </c>
      <c r="K33" s="89" t="s">
        <v>165</v>
      </c>
      <c r="L33" s="89" t="s">
        <v>165</v>
      </c>
      <c r="M33" s="89" t="s">
        <v>165</v>
      </c>
    </row>
    <row r="34" spans="1:13">
      <c r="A34" s="5" t="s">
        <v>117</v>
      </c>
    </row>
    <row r="35" spans="1:13">
      <c r="A35" s="5" t="s">
        <v>119</v>
      </c>
    </row>
    <row r="39" spans="1:13">
      <c r="B39" s="35"/>
      <c r="C39" s="35"/>
      <c r="D39" s="35"/>
      <c r="E39" s="35"/>
      <c r="F39" s="35"/>
      <c r="G39" s="35"/>
      <c r="H39" s="35"/>
      <c r="I39" s="35"/>
      <c r="J39" s="35"/>
      <c r="K39" s="35"/>
      <c r="L39" s="35"/>
      <c r="M39" s="35"/>
    </row>
    <row r="40" spans="1:13">
      <c r="B40" s="35"/>
      <c r="C40" s="35"/>
      <c r="D40" s="35"/>
      <c r="E40" s="35"/>
      <c r="F40" s="35"/>
      <c r="G40" s="35"/>
      <c r="H40" s="35"/>
      <c r="I40" s="35"/>
      <c r="J40" s="35"/>
      <c r="K40" s="35"/>
      <c r="L40" s="35"/>
      <c r="M40" s="35"/>
    </row>
    <row r="41" spans="1:13">
      <c r="B41" s="35"/>
      <c r="C41" s="35"/>
      <c r="D41" s="35"/>
      <c r="E41" s="35"/>
      <c r="F41" s="35"/>
      <c r="G41" s="35"/>
      <c r="H41" s="35"/>
      <c r="I41" s="35"/>
      <c r="J41" s="35"/>
      <c r="K41" s="35"/>
      <c r="L41" s="35"/>
      <c r="M41" s="35"/>
    </row>
    <row r="42" spans="1:13">
      <c r="B42" s="35"/>
      <c r="C42" s="35"/>
      <c r="D42" s="35"/>
      <c r="E42" s="35"/>
      <c r="F42" s="35"/>
      <c r="G42" s="35"/>
      <c r="H42" s="35"/>
      <c r="I42" s="35"/>
      <c r="J42" s="35"/>
      <c r="K42" s="35"/>
      <c r="L42" s="35"/>
      <c r="M42" s="35"/>
    </row>
    <row r="43" spans="1:13">
      <c r="B43" s="35"/>
      <c r="C43" s="35"/>
      <c r="D43" s="35"/>
      <c r="E43" s="35"/>
      <c r="F43" s="35"/>
      <c r="G43" s="35"/>
      <c r="H43" s="35"/>
      <c r="I43" s="35"/>
      <c r="J43" s="35"/>
      <c r="K43" s="35"/>
      <c r="L43" s="35"/>
      <c r="M43" s="35"/>
    </row>
    <row r="44" spans="1:13">
      <c r="B44" s="35"/>
      <c r="C44" s="35"/>
      <c r="D44" s="35"/>
      <c r="E44" s="35"/>
      <c r="F44" s="35"/>
      <c r="G44" s="35"/>
      <c r="H44" s="35"/>
      <c r="I44" s="35"/>
      <c r="J44" s="35"/>
      <c r="K44" s="35"/>
      <c r="L44" s="35"/>
      <c r="M44" s="35"/>
    </row>
    <row r="45" spans="1:13">
      <c r="B45" s="35"/>
      <c r="C45" s="35"/>
      <c r="D45" s="35"/>
      <c r="E45" s="35"/>
      <c r="F45" s="35"/>
      <c r="G45" s="35"/>
      <c r="H45" s="35"/>
      <c r="I45" s="35"/>
      <c r="J45" s="35"/>
      <c r="K45" s="35"/>
      <c r="L45" s="35"/>
      <c r="M45" s="35"/>
    </row>
    <row r="46" spans="1:13">
      <c r="B46" s="35"/>
      <c r="C46" s="35"/>
      <c r="D46" s="35"/>
      <c r="E46" s="35"/>
      <c r="F46" s="35"/>
      <c r="G46" s="35"/>
      <c r="H46" s="35"/>
      <c r="I46" s="35"/>
      <c r="J46" s="35"/>
      <c r="K46" s="35"/>
      <c r="L46" s="35"/>
      <c r="M46" s="35"/>
    </row>
    <row r="47" spans="1:13">
      <c r="B47" s="35"/>
      <c r="C47" s="35"/>
      <c r="D47" s="35"/>
      <c r="E47" s="35"/>
      <c r="F47" s="35"/>
      <c r="G47" s="35"/>
      <c r="H47" s="35"/>
      <c r="I47" s="35"/>
      <c r="J47" s="35"/>
      <c r="K47" s="35"/>
      <c r="L47" s="35"/>
      <c r="M47" s="35"/>
    </row>
    <row r="48" spans="1:13">
      <c r="B48" s="35"/>
      <c r="C48" s="35"/>
      <c r="D48" s="35"/>
      <c r="E48" s="35"/>
      <c r="F48" s="35"/>
      <c r="G48" s="35"/>
      <c r="H48" s="35"/>
      <c r="I48" s="35"/>
      <c r="J48" s="35"/>
      <c r="K48" s="35"/>
      <c r="L48" s="35"/>
      <c r="M48" s="35"/>
    </row>
    <row r="49" spans="2:13">
      <c r="B49" s="35"/>
      <c r="C49" s="35"/>
      <c r="D49" s="35"/>
      <c r="E49" s="35"/>
      <c r="F49" s="35"/>
      <c r="G49" s="35"/>
      <c r="H49" s="35"/>
      <c r="I49" s="35"/>
      <c r="J49" s="35"/>
      <c r="K49" s="35"/>
      <c r="L49" s="35"/>
      <c r="M49" s="35"/>
    </row>
    <row r="50" spans="2:13">
      <c r="B50" s="35"/>
      <c r="C50" s="35"/>
      <c r="D50" s="35"/>
      <c r="E50" s="35"/>
      <c r="F50" s="35"/>
      <c r="G50" s="35"/>
      <c r="H50" s="35"/>
      <c r="I50" s="35"/>
      <c r="J50" s="35"/>
      <c r="K50" s="35"/>
      <c r="L50" s="35"/>
      <c r="M50" s="35"/>
    </row>
    <row r="51" spans="2:13">
      <c r="B51" s="35"/>
      <c r="C51" s="35"/>
      <c r="D51" s="35"/>
      <c r="E51" s="35"/>
      <c r="F51" s="35"/>
      <c r="G51" s="35"/>
      <c r="H51" s="35"/>
      <c r="I51" s="35"/>
      <c r="J51" s="35"/>
      <c r="K51" s="35"/>
      <c r="L51" s="35"/>
      <c r="M51" s="35"/>
    </row>
    <row r="52" spans="2:13">
      <c r="B52" s="35"/>
      <c r="C52" s="35"/>
      <c r="D52" s="35"/>
      <c r="E52" s="35"/>
      <c r="F52" s="35"/>
      <c r="G52" s="35"/>
      <c r="H52" s="35"/>
      <c r="I52" s="35"/>
      <c r="J52" s="35"/>
      <c r="K52" s="35"/>
      <c r="L52" s="35"/>
      <c r="M52" s="35"/>
    </row>
    <row r="53" spans="2:13">
      <c r="B53" s="35"/>
      <c r="C53" s="35"/>
      <c r="D53" s="35"/>
      <c r="E53" s="35"/>
      <c r="F53" s="35"/>
      <c r="G53" s="35"/>
      <c r="H53" s="35"/>
      <c r="I53" s="35"/>
      <c r="J53" s="35"/>
      <c r="K53" s="35"/>
      <c r="L53" s="35"/>
      <c r="M53" s="35"/>
    </row>
    <row r="54" spans="2:13">
      <c r="B54" s="35"/>
      <c r="C54" s="35"/>
      <c r="D54" s="35"/>
      <c r="E54" s="35"/>
      <c r="F54" s="35"/>
      <c r="G54" s="35"/>
      <c r="H54" s="35"/>
      <c r="I54" s="35"/>
      <c r="J54" s="35"/>
      <c r="K54" s="35"/>
      <c r="L54" s="35"/>
      <c r="M54" s="35"/>
    </row>
    <row r="55" spans="2:13">
      <c r="B55" s="35"/>
      <c r="C55" s="35"/>
      <c r="D55" s="35"/>
      <c r="E55" s="35"/>
      <c r="F55" s="35"/>
      <c r="G55" s="35"/>
      <c r="H55" s="35"/>
      <c r="I55" s="35"/>
      <c r="J55" s="35"/>
      <c r="K55" s="35"/>
      <c r="L55" s="35"/>
      <c r="M55" s="35"/>
    </row>
    <row r="56" spans="2:13">
      <c r="B56" s="35"/>
      <c r="C56" s="35"/>
      <c r="D56" s="35"/>
      <c r="E56" s="35"/>
      <c r="F56" s="35"/>
      <c r="G56" s="35"/>
      <c r="H56" s="35"/>
      <c r="I56" s="35"/>
      <c r="J56" s="35"/>
      <c r="K56" s="35"/>
      <c r="L56" s="35"/>
      <c r="M56" s="35"/>
    </row>
    <row r="57" spans="2:13">
      <c r="B57" s="35"/>
      <c r="C57" s="35"/>
      <c r="D57" s="35"/>
      <c r="E57" s="35"/>
      <c r="F57" s="35"/>
      <c r="G57" s="35"/>
      <c r="H57" s="35"/>
      <c r="I57" s="35"/>
      <c r="J57" s="35"/>
      <c r="K57" s="35"/>
      <c r="L57" s="35"/>
      <c r="M57" s="35"/>
    </row>
    <row r="58" spans="2:13">
      <c r="B58" s="35"/>
      <c r="C58" s="35"/>
      <c r="D58" s="35"/>
      <c r="E58" s="35"/>
      <c r="F58" s="35"/>
      <c r="G58" s="35"/>
      <c r="H58" s="35"/>
      <c r="I58" s="35"/>
      <c r="J58" s="35"/>
      <c r="K58" s="35"/>
      <c r="L58" s="35"/>
      <c r="M58" s="35"/>
    </row>
    <row r="59" spans="2:13">
      <c r="B59" s="35"/>
      <c r="C59" s="35"/>
      <c r="D59" s="35"/>
      <c r="E59" s="35"/>
      <c r="F59" s="35"/>
      <c r="G59" s="35"/>
      <c r="H59" s="35"/>
      <c r="I59" s="35"/>
      <c r="J59" s="35"/>
      <c r="K59" s="35"/>
      <c r="L59" s="35"/>
      <c r="M59" s="35"/>
    </row>
    <row r="60" spans="2:13">
      <c r="B60" s="35"/>
      <c r="C60" s="35"/>
      <c r="D60" s="35"/>
      <c r="E60" s="35"/>
      <c r="F60" s="35"/>
      <c r="G60" s="35"/>
      <c r="H60" s="35"/>
      <c r="I60" s="35"/>
      <c r="J60" s="35"/>
      <c r="K60" s="35"/>
      <c r="L60" s="35"/>
      <c r="M60" s="35"/>
    </row>
    <row r="61" spans="2:13">
      <c r="B61" s="35"/>
      <c r="C61" s="35"/>
      <c r="D61" s="35"/>
      <c r="E61" s="35"/>
      <c r="F61" s="35"/>
      <c r="G61" s="35"/>
      <c r="H61" s="35"/>
      <c r="I61" s="35"/>
      <c r="J61" s="35"/>
      <c r="K61" s="35"/>
      <c r="L61" s="35"/>
      <c r="M61" s="35"/>
    </row>
    <row r="62" spans="2:13">
      <c r="B62" s="35" t="str">
        <f t="shared" ref="B62:M62" si="0">IF(B30="","",IF(B30="-","-",B30/1000))</f>
        <v/>
      </c>
      <c r="C62" s="35" t="str">
        <f t="shared" si="0"/>
        <v/>
      </c>
      <c r="D62" s="35" t="str">
        <f t="shared" si="0"/>
        <v/>
      </c>
      <c r="E62" s="35" t="str">
        <f t="shared" si="0"/>
        <v/>
      </c>
      <c r="F62" s="35" t="str">
        <f t="shared" si="0"/>
        <v/>
      </c>
      <c r="G62" s="35" t="str">
        <f t="shared" si="0"/>
        <v/>
      </c>
      <c r="H62" s="35" t="str">
        <f t="shared" si="0"/>
        <v/>
      </c>
      <c r="I62" s="35" t="str">
        <f t="shared" si="0"/>
        <v/>
      </c>
      <c r="J62" s="35" t="str">
        <f t="shared" si="0"/>
        <v/>
      </c>
      <c r="K62" s="35" t="str">
        <f t="shared" ref="K62:L65" si="1">IF(K30="","",IF(K30="-","-",K30/1000))</f>
        <v/>
      </c>
      <c r="L62" s="35" t="str">
        <f t="shared" si="1"/>
        <v/>
      </c>
      <c r="M62" s="35" t="str">
        <f t="shared" si="0"/>
        <v/>
      </c>
    </row>
    <row r="63" spans="2:13">
      <c r="B63" s="35" t="str">
        <f t="shared" ref="B63:M63" si="2">IF(B31="","",IF(B31="-","-",B31/1000))</f>
        <v/>
      </c>
      <c r="C63" s="35" t="str">
        <f t="shared" si="2"/>
        <v/>
      </c>
      <c r="D63" s="35" t="str">
        <f t="shared" si="2"/>
        <v/>
      </c>
      <c r="E63" s="35" t="str">
        <f t="shared" si="2"/>
        <v/>
      </c>
      <c r="F63" s="35" t="str">
        <f t="shared" si="2"/>
        <v/>
      </c>
      <c r="G63" s="35" t="str">
        <f t="shared" si="2"/>
        <v/>
      </c>
      <c r="H63" s="35" t="str">
        <f t="shared" si="2"/>
        <v/>
      </c>
      <c r="I63" s="35" t="str">
        <f t="shared" si="2"/>
        <v/>
      </c>
      <c r="J63" s="35" t="str">
        <f t="shared" si="2"/>
        <v/>
      </c>
      <c r="K63" s="35" t="str">
        <f t="shared" si="1"/>
        <v/>
      </c>
      <c r="L63" s="35" t="str">
        <f t="shared" si="1"/>
        <v/>
      </c>
      <c r="M63" s="35" t="str">
        <f t="shared" si="2"/>
        <v/>
      </c>
    </row>
    <row r="64" spans="2:13">
      <c r="B64" s="35" t="str">
        <f t="shared" ref="B64:M64" si="3">IF(B32="","",IF(B32="-","-",B32/1000))</f>
        <v/>
      </c>
      <c r="C64" s="35" t="str">
        <f t="shared" si="3"/>
        <v/>
      </c>
      <c r="D64" s="35" t="str">
        <f t="shared" si="3"/>
        <v/>
      </c>
      <c r="E64" s="35" t="str">
        <f t="shared" si="3"/>
        <v/>
      </c>
      <c r="F64" s="35" t="str">
        <f t="shared" si="3"/>
        <v/>
      </c>
      <c r="G64" s="35" t="str">
        <f t="shared" si="3"/>
        <v/>
      </c>
      <c r="H64" s="35" t="str">
        <f t="shared" si="3"/>
        <v/>
      </c>
      <c r="I64" s="35" t="str">
        <f t="shared" si="3"/>
        <v/>
      </c>
      <c r="J64" s="35" t="str">
        <f t="shared" si="3"/>
        <v/>
      </c>
      <c r="K64" s="35" t="str">
        <f t="shared" si="1"/>
        <v/>
      </c>
      <c r="L64" s="35" t="str">
        <f t="shared" si="1"/>
        <v/>
      </c>
      <c r="M64" s="35" t="str">
        <f t="shared" si="3"/>
        <v/>
      </c>
    </row>
    <row r="65" spans="2:13">
      <c r="B65" s="35" t="str">
        <f t="shared" ref="B65:M65" si="4">IF(B33="","",IF(B33="-","-",B33/1000))</f>
        <v/>
      </c>
      <c r="C65" s="35" t="str">
        <f t="shared" si="4"/>
        <v/>
      </c>
      <c r="D65" s="35" t="str">
        <f t="shared" si="4"/>
        <v/>
      </c>
      <c r="E65" s="35" t="str">
        <f t="shared" si="4"/>
        <v/>
      </c>
      <c r="F65" s="35" t="str">
        <f t="shared" si="4"/>
        <v/>
      </c>
      <c r="G65" s="35" t="str">
        <f t="shared" si="4"/>
        <v/>
      </c>
      <c r="H65" s="35" t="str">
        <f t="shared" si="4"/>
        <v/>
      </c>
      <c r="I65" s="35" t="str">
        <f t="shared" si="4"/>
        <v/>
      </c>
      <c r="J65" s="35" t="str">
        <f t="shared" si="4"/>
        <v/>
      </c>
      <c r="K65" s="35" t="str">
        <f t="shared" si="1"/>
        <v/>
      </c>
      <c r="L65" s="35" t="str">
        <f t="shared" si="1"/>
        <v/>
      </c>
      <c r="M65" s="35" t="str">
        <f t="shared" si="4"/>
        <v/>
      </c>
    </row>
  </sheetData>
  <mergeCells count="3">
    <mergeCell ref="P4:Q4"/>
    <mergeCell ref="A30:M30"/>
    <mergeCell ref="A29:M29"/>
  </mergeCells>
  <phoneticPr fontId="3" type="noConversion"/>
  <hyperlinks>
    <hyperlink ref="M1" location="Contents!A1" display="&gt;&gt; Contents"/>
  </hyperlinks>
  <pageMargins left="0.39370078740157483" right="0.39370078740157483" top="0.39370078740157483" bottom="0.39370078740157483" header="0" footer="0"/>
  <pageSetup paperSize="9" scale="61" fitToHeight="0" orientation="portrait" r:id="rId1"/>
  <headerFooter>
    <oddFooter>&amp;C&amp;"Calibri,Regular"&amp;KFF0000RESTRICTED STATISTICS Not for release until 25 October 2016</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2060"/>
    <pageSetUpPr fitToPage="1"/>
  </sheetPr>
  <dimension ref="A1:Q49"/>
  <sheetViews>
    <sheetView showGridLines="0" zoomScaleNormal="100" workbookViewId="0"/>
  </sheetViews>
  <sheetFormatPr defaultColWidth="10.7109375" defaultRowHeight="15.75"/>
  <cols>
    <col min="1" max="1" width="21.42578125" style="1" customWidth="1"/>
    <col min="2" max="3" width="0" style="1" hidden="1" customWidth="1"/>
    <col min="4" max="12" width="10.7109375" style="1"/>
    <col min="13" max="13" width="10.7109375" style="1" customWidth="1"/>
    <col min="14" max="16384" width="10.7109375" style="1"/>
  </cols>
  <sheetData>
    <row r="1" spans="1:17" ht="23.25">
      <c r="A1" s="138" t="str">
        <f>Contents!A1</f>
        <v>Higher Education Student Support in Scotland 2017-18</v>
      </c>
      <c r="B1" s="139"/>
      <c r="C1" s="139"/>
      <c r="D1" s="139"/>
      <c r="E1" s="139"/>
      <c r="F1" s="139"/>
      <c r="G1" s="139"/>
      <c r="H1" s="139"/>
      <c r="I1" s="139"/>
      <c r="J1" s="139"/>
      <c r="K1" s="140"/>
      <c r="L1" s="140"/>
      <c r="M1" s="140" t="s">
        <v>70</v>
      </c>
    </row>
    <row r="2" spans="1:17" ht="18.75">
      <c r="A2" s="60" t="str">
        <f ca="1">CONCATENATE(REPLACE(CELL("Filename",A2),1,FIND("]",CELL("filename",A2)),""),": Full-time students level of tuition fee support")</f>
        <v>Table A10: Full-time students level of tuition fee support</v>
      </c>
      <c r="B2" s="33"/>
      <c r="C2" s="33"/>
      <c r="D2" s="33"/>
      <c r="E2" s="33"/>
      <c r="F2" s="33"/>
      <c r="G2" s="33"/>
      <c r="H2" s="33"/>
      <c r="I2" s="33"/>
      <c r="J2" s="33"/>
      <c r="K2" s="59"/>
      <c r="L2" s="59"/>
      <c r="M2" s="59"/>
    </row>
    <row r="3" spans="1:17">
      <c r="A3" s="172"/>
      <c r="B3" s="5"/>
      <c r="C3" s="5"/>
      <c r="E3" s="5"/>
      <c r="F3" s="5"/>
    </row>
    <row r="4" spans="1:17" ht="22.5" customHeight="1">
      <c r="A4" s="4"/>
      <c r="B4" s="13" t="s">
        <v>23</v>
      </c>
      <c r="C4" s="13" t="s">
        <v>24</v>
      </c>
      <c r="D4" s="13" t="s">
        <v>27</v>
      </c>
      <c r="E4" s="13" t="s">
        <v>28</v>
      </c>
      <c r="F4" s="13" t="s">
        <v>15</v>
      </c>
      <c r="G4" s="13" t="s">
        <v>59</v>
      </c>
      <c r="H4" s="13" t="s">
        <v>1</v>
      </c>
      <c r="I4" s="13" t="s">
        <v>61</v>
      </c>
      <c r="J4" s="13" t="s">
        <v>169</v>
      </c>
      <c r="K4" s="13" t="s">
        <v>233</v>
      </c>
      <c r="L4" s="13" t="s">
        <v>246</v>
      </c>
      <c r="M4" s="13" t="s">
        <v>253</v>
      </c>
      <c r="O4" s="93"/>
      <c r="P4" s="330"/>
      <c r="Q4" s="330"/>
    </row>
    <row r="5" spans="1:17" ht="18.75" customHeight="1">
      <c r="A5" s="14" t="s">
        <v>29</v>
      </c>
      <c r="B5" s="34"/>
      <c r="C5" s="34"/>
      <c r="D5" s="34"/>
      <c r="E5" s="34"/>
      <c r="F5" s="34"/>
      <c r="G5" s="34"/>
      <c r="H5" s="34"/>
      <c r="I5" s="34"/>
      <c r="J5" s="34"/>
      <c r="K5" s="34"/>
      <c r="L5" s="34"/>
      <c r="M5" s="34"/>
      <c r="O5" s="94"/>
      <c r="P5" s="95"/>
      <c r="Q5" s="96"/>
    </row>
    <row r="6" spans="1:17" ht="18.75" customHeight="1">
      <c r="A6" s="6" t="s">
        <v>77</v>
      </c>
      <c r="B6" s="34">
        <v>109955</v>
      </c>
      <c r="C6" s="34">
        <v>110340</v>
      </c>
      <c r="D6" s="34">
        <v>118055</v>
      </c>
      <c r="E6" s="34">
        <v>124340</v>
      </c>
      <c r="F6" s="34">
        <v>126630</v>
      </c>
      <c r="G6" s="34">
        <v>125790</v>
      </c>
      <c r="H6" s="34">
        <v>127090</v>
      </c>
      <c r="I6" s="34">
        <v>130990</v>
      </c>
      <c r="J6" s="34">
        <v>133460</v>
      </c>
      <c r="K6" s="34">
        <v>134760</v>
      </c>
      <c r="L6" s="34">
        <v>136385</v>
      </c>
      <c r="M6" s="34">
        <v>140240</v>
      </c>
      <c r="N6" s="136"/>
      <c r="O6" s="94"/>
      <c r="P6" s="95"/>
      <c r="Q6" s="96"/>
    </row>
    <row r="7" spans="1:17" ht="18.75" customHeight="1">
      <c r="A7" s="42" t="s">
        <v>130</v>
      </c>
      <c r="B7" s="158">
        <v>129.01300000000001</v>
      </c>
      <c r="C7" s="158">
        <v>132.11699999999999</v>
      </c>
      <c r="D7" s="158">
        <v>190.63800000000001</v>
      </c>
      <c r="E7" s="158">
        <v>213.73699999999999</v>
      </c>
      <c r="F7" s="158">
        <v>220.83</v>
      </c>
      <c r="G7" s="158">
        <v>222.96700000000001</v>
      </c>
      <c r="H7" s="158">
        <v>229.47900000000001</v>
      </c>
      <c r="I7" s="158">
        <v>240.745</v>
      </c>
      <c r="J7" s="158">
        <v>248.97399999999999</v>
      </c>
      <c r="K7" s="158">
        <v>254.041</v>
      </c>
      <c r="L7" s="158">
        <v>259.04138399999999</v>
      </c>
      <c r="M7" s="158">
        <v>278.04942299999999</v>
      </c>
      <c r="N7" s="136"/>
      <c r="O7" s="94"/>
      <c r="P7" s="95"/>
      <c r="Q7" s="96"/>
    </row>
    <row r="8" spans="1:17" ht="18.75" customHeight="1">
      <c r="A8" s="16" t="s">
        <v>134</v>
      </c>
      <c r="B8" s="38">
        <f>MROUND(B7*1000000/B6,10)</f>
        <v>1170</v>
      </c>
      <c r="C8" s="38">
        <f t="shared" ref="C8" si="0">MROUND(C7*1000000/C6,10)</f>
        <v>1200</v>
      </c>
      <c r="D8" s="38">
        <v>1610</v>
      </c>
      <c r="E8" s="38">
        <v>1720</v>
      </c>
      <c r="F8" s="38">
        <v>1740</v>
      </c>
      <c r="G8" s="38">
        <v>1770</v>
      </c>
      <c r="H8" s="38">
        <v>1810</v>
      </c>
      <c r="I8" s="38">
        <v>1840</v>
      </c>
      <c r="J8" s="38">
        <v>1870</v>
      </c>
      <c r="K8" s="38">
        <v>1890</v>
      </c>
      <c r="L8" s="38">
        <v>1900</v>
      </c>
      <c r="M8" s="38">
        <v>1980</v>
      </c>
      <c r="N8" s="136"/>
      <c r="O8" s="94"/>
      <c r="P8" s="95"/>
      <c r="Q8" s="96"/>
    </row>
    <row r="9" spans="1:17" ht="18.75" customHeight="1">
      <c r="B9" s="35"/>
      <c r="C9" s="35"/>
      <c r="D9" s="35"/>
      <c r="E9" s="35"/>
      <c r="F9" s="35"/>
      <c r="G9" s="35"/>
      <c r="H9" s="35"/>
      <c r="I9" s="35"/>
      <c r="J9" s="35"/>
      <c r="K9" s="35"/>
      <c r="L9" s="35"/>
      <c r="M9" s="35"/>
      <c r="N9" s="136"/>
      <c r="O9" s="94"/>
      <c r="P9" s="95"/>
      <c r="Q9" s="96"/>
    </row>
    <row r="10" spans="1:17" ht="18.75" customHeight="1">
      <c r="A10" s="2" t="s">
        <v>7</v>
      </c>
      <c r="B10" s="115" t="e">
        <f>IF(B11="-",NA(),B11)</f>
        <v>#N/A</v>
      </c>
      <c r="C10" s="115" t="e">
        <f t="shared" ref="C10" si="1">IF(C11="-",NA(),C11)</f>
        <v>#N/A</v>
      </c>
      <c r="D10" s="115">
        <v>2840</v>
      </c>
      <c r="E10" s="115">
        <v>3105</v>
      </c>
      <c r="F10" s="115">
        <v>3140</v>
      </c>
      <c r="G10" s="115">
        <v>3300</v>
      </c>
      <c r="H10" s="115">
        <v>4840</v>
      </c>
      <c r="I10" s="115">
        <v>4965</v>
      </c>
      <c r="J10" s="115">
        <v>4885</v>
      </c>
      <c r="K10" s="115">
        <v>5310</v>
      </c>
      <c r="L10" s="115">
        <v>6050</v>
      </c>
      <c r="M10" s="115">
        <v>8700</v>
      </c>
      <c r="N10" s="136"/>
    </row>
    <row r="11" spans="1:17" ht="18.75" customHeight="1">
      <c r="A11" s="21" t="s">
        <v>77</v>
      </c>
      <c r="B11" s="35" t="s">
        <v>19</v>
      </c>
      <c r="C11" s="35" t="s">
        <v>19</v>
      </c>
      <c r="D11" s="35">
        <v>2840</v>
      </c>
      <c r="E11" s="35">
        <v>3105</v>
      </c>
      <c r="F11" s="35">
        <v>3140</v>
      </c>
      <c r="G11" s="35">
        <v>3300</v>
      </c>
      <c r="H11" s="35">
        <v>4840</v>
      </c>
      <c r="I11" s="35">
        <v>4965</v>
      </c>
      <c r="J11" s="35">
        <v>4885</v>
      </c>
      <c r="K11" s="35">
        <v>5310</v>
      </c>
      <c r="L11" s="35">
        <v>6050</v>
      </c>
      <c r="M11" s="35">
        <v>8700</v>
      </c>
      <c r="N11" s="136"/>
      <c r="O11" s="94"/>
      <c r="P11" s="95"/>
      <c r="Q11" s="96"/>
    </row>
    <row r="12" spans="1:17" ht="18.75" customHeight="1">
      <c r="A12" s="7" t="s">
        <v>130</v>
      </c>
      <c r="B12" s="11" t="s">
        <v>19</v>
      </c>
      <c r="C12" s="11" t="s">
        <v>19</v>
      </c>
      <c r="D12" s="149">
        <v>8.5670000000000002</v>
      </c>
      <c r="E12" s="149">
        <v>9.6460000000000008</v>
      </c>
      <c r="F12" s="149">
        <v>10.066000000000001</v>
      </c>
      <c r="G12" s="149">
        <v>10.856</v>
      </c>
      <c r="H12" s="149">
        <v>20.61</v>
      </c>
      <c r="I12" s="149">
        <v>26.041</v>
      </c>
      <c r="J12" s="149">
        <v>29.991</v>
      </c>
      <c r="K12" s="149">
        <v>33.546999999999997</v>
      </c>
      <c r="L12" s="149">
        <v>37.193179000000001</v>
      </c>
      <c r="M12" s="149">
        <v>54.524372999999997</v>
      </c>
      <c r="N12" s="136"/>
      <c r="O12" s="94"/>
      <c r="P12" s="95"/>
      <c r="Q12" s="96"/>
    </row>
    <row r="13" spans="1:17" ht="18.75" customHeight="1">
      <c r="A13" s="7" t="s">
        <v>134</v>
      </c>
      <c r="B13" s="11" t="s">
        <v>19</v>
      </c>
      <c r="C13" s="11" t="s">
        <v>19</v>
      </c>
      <c r="D13" s="11">
        <v>3020</v>
      </c>
      <c r="E13" s="11">
        <v>3110</v>
      </c>
      <c r="F13" s="11">
        <v>3210</v>
      </c>
      <c r="G13" s="11">
        <v>3290</v>
      </c>
      <c r="H13" s="11">
        <v>4260</v>
      </c>
      <c r="I13" s="11">
        <v>5240</v>
      </c>
      <c r="J13" s="11">
        <v>6140</v>
      </c>
      <c r="K13" s="11">
        <v>6320</v>
      </c>
      <c r="L13" s="11">
        <v>6150</v>
      </c>
      <c r="M13" s="11">
        <v>6270</v>
      </c>
      <c r="N13" s="136"/>
      <c r="O13" s="94"/>
      <c r="P13" s="95"/>
      <c r="Q13" s="96"/>
    </row>
    <row r="14" spans="1:17" ht="18.75" customHeight="1">
      <c r="A14" s="7"/>
      <c r="B14" s="11"/>
      <c r="C14" s="11"/>
      <c r="D14" s="11"/>
      <c r="E14" s="11"/>
      <c r="F14" s="11"/>
      <c r="G14" s="11"/>
      <c r="H14" s="11"/>
      <c r="I14" s="11"/>
      <c r="J14" s="11"/>
      <c r="K14" s="11"/>
      <c r="L14" s="11"/>
      <c r="M14" s="11"/>
      <c r="N14" s="136"/>
      <c r="O14" s="94"/>
      <c r="P14" s="95"/>
      <c r="Q14" s="96"/>
    </row>
    <row r="15" spans="1:17" ht="18.75" customHeight="1">
      <c r="A15" s="2" t="s">
        <v>231</v>
      </c>
      <c r="B15" s="19"/>
      <c r="C15" s="19"/>
      <c r="D15" s="19"/>
      <c r="E15" s="19"/>
      <c r="F15" s="19"/>
      <c r="G15" s="19"/>
      <c r="H15" s="19"/>
      <c r="I15" s="19"/>
      <c r="J15" s="19"/>
      <c r="K15" s="19"/>
      <c r="L15" s="19"/>
      <c r="M15" s="19"/>
      <c r="N15" s="136"/>
    </row>
    <row r="16" spans="1:17" ht="18.75" customHeight="1">
      <c r="A16" s="21" t="s">
        <v>77</v>
      </c>
      <c r="B16" s="35">
        <v>108230</v>
      </c>
      <c r="C16" s="35">
        <f>C6</f>
        <v>110340</v>
      </c>
      <c r="D16" s="35">
        <v>115215</v>
      </c>
      <c r="E16" s="35">
        <v>121235</v>
      </c>
      <c r="F16" s="35">
        <v>123490</v>
      </c>
      <c r="G16" s="35">
        <v>122490</v>
      </c>
      <c r="H16" s="35">
        <v>122250</v>
      </c>
      <c r="I16" s="35">
        <v>126025</v>
      </c>
      <c r="J16" s="35">
        <v>128575</v>
      </c>
      <c r="K16" s="35">
        <v>129450</v>
      </c>
      <c r="L16" s="35">
        <v>130335</v>
      </c>
      <c r="M16" s="35">
        <v>131540</v>
      </c>
      <c r="N16" s="136"/>
      <c r="O16" s="94"/>
      <c r="P16" s="95"/>
      <c r="Q16" s="96"/>
    </row>
    <row r="17" spans="1:17" ht="18.75" customHeight="1">
      <c r="A17" s="7" t="s">
        <v>130</v>
      </c>
      <c r="B17" s="149">
        <v>127.664</v>
      </c>
      <c r="C17" s="149">
        <f>C7</f>
        <v>132.11699999999999</v>
      </c>
      <c r="D17" s="149">
        <v>182.071</v>
      </c>
      <c r="E17" s="149">
        <v>204.09100000000001</v>
      </c>
      <c r="F17" s="149">
        <v>210.76400000000001</v>
      </c>
      <c r="G17" s="149">
        <v>212.11100000000002</v>
      </c>
      <c r="H17" s="149">
        <v>208.86900000000003</v>
      </c>
      <c r="I17" s="149">
        <v>214.70400000000001</v>
      </c>
      <c r="J17" s="149">
        <v>218.983</v>
      </c>
      <c r="K17" s="149">
        <v>220.494</v>
      </c>
      <c r="L17" s="149">
        <v>221.84820500000001</v>
      </c>
      <c r="M17" s="149">
        <v>223.52504999999999</v>
      </c>
      <c r="N17" s="136"/>
      <c r="O17" s="94"/>
      <c r="P17" s="95"/>
      <c r="Q17" s="96"/>
    </row>
    <row r="18" spans="1:17" ht="18.75" customHeight="1">
      <c r="A18" s="7" t="s">
        <v>134</v>
      </c>
      <c r="B18" s="11">
        <f>MROUND(B17*1000000/B16,10)</f>
        <v>1180</v>
      </c>
      <c r="C18" s="11">
        <f t="shared" ref="C18" si="2">MROUND(C17*1000000/C16,10)</f>
        <v>1200</v>
      </c>
      <c r="D18" s="11">
        <v>1580</v>
      </c>
      <c r="E18" s="11">
        <v>1680</v>
      </c>
      <c r="F18" s="11">
        <v>1710</v>
      </c>
      <c r="G18" s="11">
        <v>1730</v>
      </c>
      <c r="H18" s="11">
        <v>1710</v>
      </c>
      <c r="I18" s="11">
        <v>1700</v>
      </c>
      <c r="J18" s="11">
        <v>1700</v>
      </c>
      <c r="K18" s="11">
        <v>1700</v>
      </c>
      <c r="L18" s="11">
        <v>1700</v>
      </c>
      <c r="M18" s="11">
        <v>1700</v>
      </c>
      <c r="N18" s="136"/>
      <c r="O18" s="94"/>
      <c r="P18" s="95"/>
      <c r="Q18" s="96"/>
    </row>
    <row r="19" spans="1:17" ht="18.75" customHeight="1">
      <c r="A19" s="7"/>
      <c r="B19" s="11"/>
      <c r="C19" s="11"/>
      <c r="D19" s="11"/>
      <c r="E19" s="11"/>
      <c r="F19" s="11"/>
      <c r="G19" s="11"/>
      <c r="H19" s="11"/>
      <c r="I19" s="11"/>
      <c r="J19" s="11"/>
      <c r="K19" s="11"/>
      <c r="L19" s="11"/>
      <c r="M19" s="11"/>
      <c r="N19" s="136"/>
      <c r="O19" s="94"/>
      <c r="P19" s="95"/>
      <c r="Q19" s="96"/>
    </row>
    <row r="20" spans="1:17" ht="18.75" customHeight="1">
      <c r="A20" s="262" t="s">
        <v>4</v>
      </c>
      <c r="B20" s="263"/>
      <c r="C20" s="263"/>
      <c r="D20" s="263"/>
      <c r="E20" s="263"/>
      <c r="F20" s="263"/>
      <c r="G20" s="263"/>
      <c r="H20" s="263"/>
      <c r="I20" s="263"/>
      <c r="J20" s="263"/>
      <c r="K20" s="263"/>
      <c r="L20" s="263"/>
      <c r="M20" s="263"/>
      <c r="N20" s="136"/>
    </row>
    <row r="21" spans="1:17" ht="18.75" customHeight="1">
      <c r="A21" s="56" t="s">
        <v>77</v>
      </c>
      <c r="B21" s="259">
        <v>108230</v>
      </c>
      <c r="C21" s="259">
        <v>108535</v>
      </c>
      <c r="D21" s="259">
        <v>111900</v>
      </c>
      <c r="E21" s="259">
        <v>117280</v>
      </c>
      <c r="F21" s="259">
        <v>119265</v>
      </c>
      <c r="G21" s="259">
        <v>120630</v>
      </c>
      <c r="H21" s="259">
        <v>120620</v>
      </c>
      <c r="I21" s="259">
        <v>124470</v>
      </c>
      <c r="J21" s="259">
        <v>127080</v>
      </c>
      <c r="K21" s="259">
        <v>127800</v>
      </c>
      <c r="L21" s="259">
        <v>128640</v>
      </c>
      <c r="M21" s="259">
        <v>129615</v>
      </c>
      <c r="N21" s="136"/>
      <c r="O21" s="94"/>
      <c r="P21" s="95"/>
      <c r="Q21" s="96"/>
    </row>
    <row r="22" spans="1:17" ht="18.75" customHeight="1">
      <c r="A22" s="243" t="s">
        <v>130</v>
      </c>
      <c r="B22" s="260">
        <v>127.664</v>
      </c>
      <c r="C22" s="260">
        <v>130.70500000000001</v>
      </c>
      <c r="D22" s="260">
        <v>179.52199999999999</v>
      </c>
      <c r="E22" s="260">
        <v>200.995</v>
      </c>
      <c r="F22" s="260">
        <v>207.16</v>
      </c>
      <c r="G22" s="260">
        <v>210.172</v>
      </c>
      <c r="H22" s="260">
        <v>206.726</v>
      </c>
      <c r="I22" s="260">
        <v>212.31100000000001</v>
      </c>
      <c r="J22" s="260">
        <v>216.27500000000001</v>
      </c>
      <c r="K22" s="260">
        <v>217.42099999999999</v>
      </c>
      <c r="L22" s="260">
        <v>218.354555</v>
      </c>
      <c r="M22" s="260">
        <v>219.94985</v>
      </c>
      <c r="N22" s="136"/>
      <c r="O22" s="94"/>
      <c r="P22" s="95"/>
      <c r="Q22" s="96"/>
    </row>
    <row r="23" spans="1:17" ht="18.75" customHeight="1">
      <c r="A23" s="243" t="s">
        <v>134</v>
      </c>
      <c r="B23" s="261">
        <f>MROUND(B22*1000000/B21,10)</f>
        <v>1180</v>
      </c>
      <c r="C23" s="261">
        <f t="shared" ref="C23" si="3">MROUND(C22*1000000/C21,10)</f>
        <v>1200</v>
      </c>
      <c r="D23" s="261">
        <v>1600</v>
      </c>
      <c r="E23" s="261">
        <v>1710</v>
      </c>
      <c r="F23" s="261">
        <v>1740</v>
      </c>
      <c r="G23" s="261">
        <v>1740</v>
      </c>
      <c r="H23" s="261">
        <v>1710</v>
      </c>
      <c r="I23" s="261">
        <v>1710</v>
      </c>
      <c r="J23" s="261">
        <v>1700</v>
      </c>
      <c r="K23" s="261">
        <v>1700</v>
      </c>
      <c r="L23" s="261">
        <v>1700</v>
      </c>
      <c r="M23" s="261">
        <v>1700</v>
      </c>
      <c r="N23" s="136"/>
      <c r="O23" s="94"/>
      <c r="P23" s="95"/>
      <c r="Q23" s="96"/>
    </row>
    <row r="24" spans="1:17" ht="18.75" customHeight="1">
      <c r="A24" s="52"/>
      <c r="B24" s="259"/>
      <c r="C24" s="259"/>
      <c r="D24" s="259"/>
      <c r="E24" s="259"/>
      <c r="F24" s="259"/>
      <c r="G24" s="259"/>
      <c r="H24" s="259"/>
      <c r="I24" s="259"/>
      <c r="J24" s="259"/>
      <c r="K24" s="259"/>
      <c r="L24" s="259"/>
      <c r="M24" s="259"/>
      <c r="N24" s="136"/>
    </row>
    <row r="25" spans="1:17" ht="18.75" customHeight="1">
      <c r="A25" s="257" t="s">
        <v>5</v>
      </c>
      <c r="B25" s="258"/>
      <c r="C25" s="258"/>
      <c r="D25" s="258"/>
      <c r="E25" s="258"/>
      <c r="F25" s="258"/>
      <c r="G25" s="258"/>
      <c r="H25" s="258"/>
      <c r="I25" s="258"/>
      <c r="J25" s="258"/>
      <c r="K25" s="258"/>
      <c r="L25" s="258"/>
      <c r="M25" s="258"/>
      <c r="N25" s="136"/>
    </row>
    <row r="26" spans="1:17" ht="18.75" customHeight="1">
      <c r="A26" s="56" t="s">
        <v>77</v>
      </c>
      <c r="B26" s="259">
        <v>795</v>
      </c>
      <c r="C26" s="259">
        <v>800</v>
      </c>
      <c r="D26" s="259">
        <v>1045</v>
      </c>
      <c r="E26" s="259">
        <v>880</v>
      </c>
      <c r="F26" s="259">
        <v>1085</v>
      </c>
      <c r="G26" s="259">
        <v>1030</v>
      </c>
      <c r="H26" s="259">
        <v>1000</v>
      </c>
      <c r="I26" s="259">
        <v>965</v>
      </c>
      <c r="J26" s="259">
        <v>810</v>
      </c>
      <c r="K26" s="259">
        <v>825</v>
      </c>
      <c r="L26" s="259">
        <v>815</v>
      </c>
      <c r="M26" s="259">
        <v>1025</v>
      </c>
      <c r="N26" s="136"/>
      <c r="O26" s="94"/>
      <c r="P26" s="95"/>
      <c r="Q26" s="96"/>
    </row>
    <row r="27" spans="1:17" ht="18.75" customHeight="1">
      <c r="A27" s="243" t="s">
        <v>130</v>
      </c>
      <c r="B27" s="260">
        <v>0.44500000000000001</v>
      </c>
      <c r="C27" s="260">
        <v>0.45600000000000002</v>
      </c>
      <c r="D27" s="260">
        <v>0.95099999999999996</v>
      </c>
      <c r="E27" s="260">
        <v>0.93600000000000005</v>
      </c>
      <c r="F27" s="260">
        <v>1.153</v>
      </c>
      <c r="G27" s="260">
        <v>1.0840000000000001</v>
      </c>
      <c r="H27" s="260">
        <v>1.0269999999999999</v>
      </c>
      <c r="I27" s="260">
        <v>0.96199999999999997</v>
      </c>
      <c r="J27" s="260">
        <v>0.77600000000000002</v>
      </c>
      <c r="K27" s="260">
        <v>0.754</v>
      </c>
      <c r="L27" s="260">
        <v>0.74058000000000002</v>
      </c>
      <c r="M27" s="260">
        <v>0.93252999999999997</v>
      </c>
      <c r="N27" s="136"/>
      <c r="O27" s="94"/>
      <c r="P27" s="95"/>
      <c r="Q27" s="96"/>
    </row>
    <row r="28" spans="1:17" ht="18.75" customHeight="1">
      <c r="A28" s="243" t="s">
        <v>134</v>
      </c>
      <c r="B28" s="261">
        <f>MROUND(B27*1000000/B26,10)</f>
        <v>560</v>
      </c>
      <c r="C28" s="261">
        <f t="shared" ref="C28" si="4">MROUND(C27*1000000/C26,10)</f>
        <v>570</v>
      </c>
      <c r="D28" s="261">
        <v>910</v>
      </c>
      <c r="E28" s="261">
        <v>1060</v>
      </c>
      <c r="F28" s="261">
        <v>1060</v>
      </c>
      <c r="G28" s="261">
        <v>1050</v>
      </c>
      <c r="H28" s="261">
        <v>1030</v>
      </c>
      <c r="I28" s="261">
        <v>1000</v>
      </c>
      <c r="J28" s="261">
        <v>960</v>
      </c>
      <c r="K28" s="261">
        <v>910</v>
      </c>
      <c r="L28" s="261">
        <v>910</v>
      </c>
      <c r="M28" s="261">
        <v>910</v>
      </c>
      <c r="N28" s="136"/>
      <c r="O28" s="94"/>
      <c r="P28" s="95"/>
      <c r="Q28" s="96"/>
    </row>
    <row r="29" spans="1:17" ht="18.75" customHeight="1">
      <c r="A29" s="52"/>
      <c r="B29" s="259"/>
      <c r="C29" s="259"/>
      <c r="D29" s="259"/>
      <c r="E29" s="259"/>
      <c r="F29" s="259"/>
      <c r="G29" s="259"/>
      <c r="H29" s="259"/>
      <c r="I29" s="259"/>
      <c r="J29" s="259"/>
      <c r="K29" s="259"/>
      <c r="L29" s="259"/>
      <c r="M29" s="259"/>
      <c r="N29" s="136"/>
    </row>
    <row r="30" spans="1:17" ht="18.75" customHeight="1">
      <c r="A30" s="257" t="s">
        <v>6</v>
      </c>
      <c r="B30" s="258"/>
      <c r="C30" s="258"/>
      <c r="D30" s="258"/>
      <c r="E30" s="258"/>
      <c r="F30" s="258"/>
      <c r="G30" s="258"/>
      <c r="H30" s="258"/>
      <c r="I30" s="258"/>
      <c r="J30" s="258"/>
      <c r="K30" s="258"/>
      <c r="L30" s="258"/>
      <c r="M30" s="258"/>
      <c r="N30" s="136"/>
    </row>
    <row r="31" spans="1:17" ht="18.75" customHeight="1">
      <c r="A31" s="56" t="s">
        <v>77</v>
      </c>
      <c r="B31" s="259">
        <v>930</v>
      </c>
      <c r="C31" s="259">
        <v>1010</v>
      </c>
      <c r="D31" s="259">
        <v>2270</v>
      </c>
      <c r="E31" s="259">
        <v>3080</v>
      </c>
      <c r="F31" s="259">
        <v>3145</v>
      </c>
      <c r="G31" s="259">
        <v>830</v>
      </c>
      <c r="H31" s="259">
        <v>635</v>
      </c>
      <c r="I31" s="259">
        <v>595</v>
      </c>
      <c r="J31" s="259">
        <v>690</v>
      </c>
      <c r="K31" s="259">
        <v>830</v>
      </c>
      <c r="L31" s="259">
        <v>880</v>
      </c>
      <c r="M31" s="259">
        <v>900</v>
      </c>
      <c r="N31" s="136"/>
      <c r="O31" s="94"/>
      <c r="P31" s="95"/>
      <c r="Q31" s="96"/>
    </row>
    <row r="32" spans="1:17" ht="18.75" customHeight="1">
      <c r="A32" s="243" t="s">
        <v>130</v>
      </c>
      <c r="B32" s="260">
        <v>0.90400000000000003</v>
      </c>
      <c r="C32" s="260">
        <v>0.95599999999999996</v>
      </c>
      <c r="D32" s="260">
        <v>1.597</v>
      </c>
      <c r="E32" s="260">
        <v>2.1589999999999998</v>
      </c>
      <c r="F32" s="260">
        <v>2.452</v>
      </c>
      <c r="G32" s="260">
        <v>0.85399999999999998</v>
      </c>
      <c r="H32" s="260">
        <v>1.1160000000000001</v>
      </c>
      <c r="I32" s="260">
        <v>1.431</v>
      </c>
      <c r="J32" s="260">
        <v>1.9319999999999999</v>
      </c>
      <c r="K32" s="260">
        <v>2.3199999999999998</v>
      </c>
      <c r="L32" s="260">
        <v>2.7530700000000001</v>
      </c>
      <c r="M32" s="260">
        <v>2.6426699999999999</v>
      </c>
      <c r="N32" s="136"/>
      <c r="O32" s="94"/>
      <c r="P32" s="95"/>
      <c r="Q32" s="96"/>
    </row>
    <row r="33" spans="1:17" ht="18.75" customHeight="1">
      <c r="A33" s="265" t="s">
        <v>134</v>
      </c>
      <c r="B33" s="264">
        <f>MROUND(B32*1000000/B31,10)</f>
        <v>970</v>
      </c>
      <c r="C33" s="264">
        <f t="shared" ref="C33" si="5">MROUND(C32*1000000/C31,10)</f>
        <v>950</v>
      </c>
      <c r="D33" s="264">
        <v>700</v>
      </c>
      <c r="E33" s="264">
        <v>700</v>
      </c>
      <c r="F33" s="264">
        <v>780</v>
      </c>
      <c r="G33" s="264">
        <v>1030</v>
      </c>
      <c r="H33" s="264">
        <v>1760</v>
      </c>
      <c r="I33" s="264">
        <v>2410</v>
      </c>
      <c r="J33" s="264">
        <v>2800</v>
      </c>
      <c r="K33" s="264">
        <v>2800</v>
      </c>
      <c r="L33" s="264">
        <v>3130</v>
      </c>
      <c r="M33" s="264">
        <v>2940</v>
      </c>
      <c r="N33" s="136"/>
      <c r="O33" s="94"/>
      <c r="P33" s="95"/>
      <c r="Q33" s="96"/>
    </row>
    <row r="34" spans="1:17" ht="18.75" customHeight="1">
      <c r="B34" s="35"/>
      <c r="C34" s="35"/>
      <c r="D34" s="35"/>
      <c r="E34" s="35"/>
      <c r="F34" s="35"/>
      <c r="G34" s="35"/>
      <c r="H34" s="35"/>
      <c r="I34" s="35"/>
      <c r="J34" s="35"/>
      <c r="K34" s="35"/>
      <c r="L34" s="35"/>
      <c r="M34" s="35"/>
      <c r="N34" s="136"/>
    </row>
    <row r="35" spans="1:17">
      <c r="B35" s="35"/>
      <c r="C35" s="35"/>
      <c r="D35" s="35"/>
      <c r="E35" s="35"/>
      <c r="F35" s="35"/>
      <c r="G35" s="35"/>
      <c r="H35" s="35"/>
      <c r="I35" s="35"/>
      <c r="J35" s="35"/>
    </row>
    <row r="37" spans="1:17">
      <c r="A37" s="81" t="s">
        <v>44</v>
      </c>
    </row>
    <row r="38" spans="1:17">
      <c r="A38" s="12"/>
    </row>
    <row r="39" spans="1:17">
      <c r="A39" s="27" t="s">
        <v>101</v>
      </c>
      <c r="B39" s="5"/>
      <c r="C39" s="5"/>
      <c r="D39" s="5"/>
      <c r="E39" s="5"/>
      <c r="F39" s="5"/>
    </row>
    <row r="40" spans="1:17">
      <c r="A40" s="27"/>
      <c r="B40" s="5"/>
      <c r="C40" s="5"/>
      <c r="D40" s="5"/>
      <c r="E40" s="5"/>
      <c r="F40" s="5"/>
    </row>
    <row r="41" spans="1:17">
      <c r="A41" s="27" t="s">
        <v>107</v>
      </c>
      <c r="B41" s="5"/>
      <c r="C41" s="5"/>
      <c r="D41" s="5"/>
      <c r="E41" s="5"/>
      <c r="F41" s="5"/>
    </row>
    <row r="42" spans="1:17">
      <c r="A42" s="27"/>
      <c r="B42" s="5"/>
      <c r="C42" s="5"/>
      <c r="D42" s="5"/>
      <c r="E42" s="5"/>
      <c r="F42" s="5"/>
    </row>
    <row r="43" spans="1:17">
      <c r="A43" s="27" t="s">
        <v>103</v>
      </c>
      <c r="B43" s="5"/>
      <c r="C43" s="5"/>
      <c r="D43" s="5"/>
      <c r="E43" s="5"/>
      <c r="F43" s="5"/>
    </row>
    <row r="44" spans="1:17">
      <c r="A44" s="27" t="s">
        <v>104</v>
      </c>
      <c r="B44" s="5"/>
      <c r="C44" s="5"/>
      <c r="D44" s="5"/>
      <c r="E44" s="5"/>
      <c r="F44" s="5"/>
    </row>
    <row r="45" spans="1:17">
      <c r="A45" s="27" t="s">
        <v>106</v>
      </c>
      <c r="B45" s="5"/>
      <c r="C45" s="5"/>
      <c r="D45" s="5"/>
      <c r="E45" s="5"/>
      <c r="F45" s="5"/>
    </row>
    <row r="46" spans="1:17">
      <c r="A46" s="27" t="s">
        <v>105</v>
      </c>
      <c r="B46" s="5"/>
      <c r="C46" s="5"/>
      <c r="D46" s="5"/>
      <c r="E46" s="5"/>
      <c r="F46" s="5"/>
    </row>
    <row r="47" spans="1:17">
      <c r="A47" s="27"/>
      <c r="B47" s="5"/>
      <c r="C47" s="5"/>
      <c r="D47" s="5"/>
      <c r="E47" s="5"/>
      <c r="F47" s="5"/>
    </row>
    <row r="48" spans="1:17">
      <c r="A48" s="27" t="s">
        <v>108</v>
      </c>
      <c r="B48" s="5"/>
      <c r="C48" s="5"/>
      <c r="D48" s="5"/>
      <c r="E48" s="5"/>
      <c r="F48" s="5"/>
    </row>
    <row r="49" spans="1:1">
      <c r="A49" s="1" t="s">
        <v>109</v>
      </c>
    </row>
  </sheetData>
  <mergeCells count="1">
    <mergeCell ref="P4:Q4"/>
  </mergeCells>
  <phoneticPr fontId="3" type="noConversion"/>
  <hyperlinks>
    <hyperlink ref="M1" location="Contents!A1" display="&gt;&gt; Contents"/>
  </hyperlinks>
  <pageMargins left="0.39370078740157483" right="0.39370078740157483" top="0.39370078740157483" bottom="0.39370078740157483" header="0" footer="0"/>
  <pageSetup paperSize="9" scale="75" fitToHeight="0" orientation="portrait" r:id="rId1"/>
  <headerFooter>
    <oddFooter>&amp;C&amp;"Calibri,Regular"&amp;KFF0000RESTRICTED STATISTICS Not for release until 25 October 2016</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2060"/>
    <pageSetUpPr fitToPage="1"/>
  </sheetPr>
  <dimension ref="A1:Q42"/>
  <sheetViews>
    <sheetView showGridLines="0" zoomScaleNormal="100" workbookViewId="0"/>
  </sheetViews>
  <sheetFormatPr defaultColWidth="10.7109375" defaultRowHeight="15.75"/>
  <cols>
    <col min="1" max="1" width="21.42578125" style="1" customWidth="1"/>
    <col min="2" max="3" width="0" style="1" hidden="1" customWidth="1"/>
    <col min="4" max="13" width="10.7109375" style="1"/>
    <col min="14" max="14" width="12.28515625" style="1" bestFit="1" customWidth="1"/>
    <col min="15" max="16384" width="10.7109375" style="1"/>
  </cols>
  <sheetData>
    <row r="1" spans="1:17" ht="23.25">
      <c r="A1" s="138" t="str">
        <f>Contents!A1</f>
        <v>Higher Education Student Support in Scotland 2017-18</v>
      </c>
      <c r="B1" s="139"/>
      <c r="C1" s="139"/>
      <c r="D1" s="139"/>
      <c r="E1" s="139"/>
      <c r="F1" s="139"/>
      <c r="G1" s="139"/>
      <c r="H1" s="139"/>
      <c r="I1" s="139"/>
      <c r="J1" s="139"/>
      <c r="K1" s="140"/>
      <c r="L1" s="140"/>
      <c r="M1" s="140" t="s">
        <v>70</v>
      </c>
    </row>
    <row r="2" spans="1:17" ht="18.75">
      <c r="A2" s="60" t="str">
        <f ca="1">CONCATENATE(REPLACE(CELL("Filename",A2),1,FIND("]",CELL("filename",A2)),""),": Full-time students receiving living cost loan support")</f>
        <v>Table A11: Full-time students receiving living cost loan support</v>
      </c>
      <c r="B2" s="33"/>
      <c r="C2" s="33"/>
      <c r="D2" s="33"/>
      <c r="E2" s="33"/>
      <c r="F2" s="33"/>
      <c r="G2" s="33"/>
      <c r="H2" s="33"/>
      <c r="I2" s="33"/>
      <c r="J2" s="33"/>
      <c r="K2" s="59"/>
      <c r="L2" s="59"/>
      <c r="M2" s="59"/>
    </row>
    <row r="3" spans="1:17">
      <c r="A3" s="172"/>
    </row>
    <row r="4" spans="1:17" ht="22.5" customHeight="1">
      <c r="A4" s="4"/>
      <c r="B4" s="13" t="s">
        <v>23</v>
      </c>
      <c r="C4" s="13" t="s">
        <v>24</v>
      </c>
      <c r="D4" s="13" t="s">
        <v>27</v>
      </c>
      <c r="E4" s="13" t="s">
        <v>28</v>
      </c>
      <c r="F4" s="13" t="s">
        <v>15</v>
      </c>
      <c r="G4" s="13" t="s">
        <v>59</v>
      </c>
      <c r="H4" s="13" t="s">
        <v>1</v>
      </c>
      <c r="I4" s="62" t="s">
        <v>61</v>
      </c>
      <c r="J4" s="13" t="s">
        <v>169</v>
      </c>
      <c r="K4" s="13" t="s">
        <v>233</v>
      </c>
      <c r="L4" s="13" t="s">
        <v>246</v>
      </c>
      <c r="M4" s="13" t="s">
        <v>253</v>
      </c>
      <c r="O4" s="93"/>
      <c r="P4" s="330"/>
      <c r="Q4" s="330"/>
    </row>
    <row r="5" spans="1:17" ht="18.75" customHeight="1">
      <c r="A5" s="14" t="s">
        <v>29</v>
      </c>
      <c r="B5" s="34"/>
      <c r="C5" s="34"/>
      <c r="D5" s="34"/>
      <c r="E5" s="34"/>
      <c r="F5" s="34"/>
      <c r="G5" s="34"/>
      <c r="H5" s="34"/>
      <c r="I5" s="228"/>
      <c r="J5" s="34"/>
      <c r="K5" s="34"/>
      <c r="L5" s="34"/>
      <c r="M5" s="34"/>
      <c r="O5" s="94"/>
      <c r="P5" s="95"/>
      <c r="Q5" s="96"/>
    </row>
    <row r="6" spans="1:17" ht="18.75" customHeight="1">
      <c r="A6" s="6" t="s">
        <v>77</v>
      </c>
      <c r="B6" s="34">
        <v>86440</v>
      </c>
      <c r="C6" s="34">
        <v>84065</v>
      </c>
      <c r="D6" s="34">
        <v>77170</v>
      </c>
      <c r="E6" s="34">
        <v>79075</v>
      </c>
      <c r="F6" s="34">
        <v>79395</v>
      </c>
      <c r="G6" s="34">
        <v>80875</v>
      </c>
      <c r="H6" s="34">
        <v>81640</v>
      </c>
      <c r="I6" s="228">
        <v>85655</v>
      </c>
      <c r="J6" s="34">
        <v>88985</v>
      </c>
      <c r="K6" s="34">
        <v>93530</v>
      </c>
      <c r="L6" s="34">
        <v>97550</v>
      </c>
      <c r="M6" s="34">
        <v>99895</v>
      </c>
      <c r="N6" s="136"/>
      <c r="O6" s="94"/>
      <c r="P6" s="95"/>
      <c r="Q6" s="96"/>
    </row>
    <row r="7" spans="1:17" ht="18.75" customHeight="1">
      <c r="A7" s="42" t="s">
        <v>130</v>
      </c>
      <c r="B7" s="158">
        <v>208.41200000000001</v>
      </c>
      <c r="C7" s="158">
        <v>191.70699999999999</v>
      </c>
      <c r="D7" s="158">
        <v>186.95400000000001</v>
      </c>
      <c r="E7" s="158">
        <v>197.17400000000001</v>
      </c>
      <c r="F7" s="158">
        <v>223.34899999999999</v>
      </c>
      <c r="G7" s="158">
        <v>243.90600000000001</v>
      </c>
      <c r="H7" s="158">
        <v>254.28</v>
      </c>
      <c r="I7" s="293">
        <v>429.58699999999999</v>
      </c>
      <c r="J7" s="158">
        <v>468.846</v>
      </c>
      <c r="K7" s="158">
        <v>493.156091</v>
      </c>
      <c r="L7" s="158">
        <v>515.54692399999999</v>
      </c>
      <c r="M7" s="158">
        <v>528.35638100000006</v>
      </c>
      <c r="N7" s="318"/>
      <c r="O7" s="94"/>
      <c r="P7" s="95"/>
      <c r="Q7" s="96"/>
    </row>
    <row r="8" spans="1:17" ht="18.75" customHeight="1">
      <c r="A8" s="16" t="s">
        <v>134</v>
      </c>
      <c r="B8" s="38">
        <f>MROUND(B7*1000000/B6,10)</f>
        <v>2410</v>
      </c>
      <c r="C8" s="38">
        <f t="shared" ref="C8" si="0">MROUND(C7*1000000/C6,10)</f>
        <v>2280</v>
      </c>
      <c r="D8" s="38">
        <v>2420</v>
      </c>
      <c r="E8" s="38">
        <v>2490</v>
      </c>
      <c r="F8" s="38">
        <v>2810</v>
      </c>
      <c r="G8" s="38">
        <v>3020</v>
      </c>
      <c r="H8" s="38">
        <v>3110</v>
      </c>
      <c r="I8" s="63">
        <v>5020</v>
      </c>
      <c r="J8" s="38">
        <v>5270</v>
      </c>
      <c r="K8" s="38">
        <v>5270</v>
      </c>
      <c r="L8" s="38">
        <v>5280</v>
      </c>
      <c r="M8" s="38">
        <v>5290</v>
      </c>
      <c r="N8" s="136"/>
      <c r="O8" s="94"/>
      <c r="P8" s="95"/>
      <c r="Q8" s="96"/>
    </row>
    <row r="9" spans="1:17" ht="18.75" customHeight="1">
      <c r="A9" s="2" t="s">
        <v>277</v>
      </c>
      <c r="B9" s="35"/>
      <c r="C9" s="35"/>
      <c r="D9" s="35"/>
      <c r="E9" s="35"/>
      <c r="F9" s="35"/>
      <c r="G9" s="35"/>
      <c r="H9" s="35"/>
      <c r="I9" s="179"/>
      <c r="J9" s="35"/>
      <c r="K9" s="35"/>
      <c r="L9" s="35"/>
      <c r="M9" s="35"/>
      <c r="N9" s="136"/>
    </row>
    <row r="10" spans="1:17" ht="18.75" customHeight="1">
      <c r="A10" s="2" t="s">
        <v>73</v>
      </c>
      <c r="B10" s="19"/>
      <c r="C10" s="19"/>
      <c r="D10" s="19"/>
      <c r="E10" s="19"/>
      <c r="F10" s="19"/>
      <c r="G10" s="19"/>
      <c r="H10" s="19"/>
      <c r="I10" s="229"/>
      <c r="J10" s="19"/>
      <c r="K10" s="19"/>
      <c r="L10" s="19"/>
      <c r="M10" s="19"/>
      <c r="N10" s="136"/>
      <c r="O10" s="51"/>
    </row>
    <row r="11" spans="1:17" ht="18.75" customHeight="1">
      <c r="A11" s="21" t="s">
        <v>77</v>
      </c>
      <c r="B11" s="35">
        <v>85210</v>
      </c>
      <c r="C11" s="35">
        <v>83155</v>
      </c>
      <c r="D11" s="35">
        <v>76465</v>
      </c>
      <c r="E11" s="35">
        <v>78370</v>
      </c>
      <c r="F11" s="35">
        <v>77920</v>
      </c>
      <c r="G11" s="35">
        <v>80785</v>
      </c>
      <c r="H11" s="35">
        <v>81585</v>
      </c>
      <c r="I11" s="179">
        <v>39980</v>
      </c>
      <c r="J11" s="35">
        <v>43610</v>
      </c>
      <c r="K11" s="35">
        <v>47415</v>
      </c>
      <c r="L11" s="35">
        <v>50200</v>
      </c>
      <c r="M11" s="35">
        <v>50860</v>
      </c>
      <c r="N11" s="301"/>
      <c r="O11" s="94"/>
      <c r="P11" s="95"/>
      <c r="Q11" s="96"/>
    </row>
    <row r="12" spans="1:17" ht="18.75" customHeight="1">
      <c r="A12" s="7" t="s">
        <v>130</v>
      </c>
      <c r="B12" s="149">
        <v>70.337000000000003</v>
      </c>
      <c r="C12" s="149">
        <v>66.834999999999994</v>
      </c>
      <c r="D12" s="149">
        <v>60.98</v>
      </c>
      <c r="E12" s="149">
        <v>63.069000000000003</v>
      </c>
      <c r="F12" s="149">
        <v>62.296999999999997</v>
      </c>
      <c r="G12" s="149">
        <v>64.33</v>
      </c>
      <c r="H12" s="149">
        <v>66.462000000000003</v>
      </c>
      <c r="I12" s="180">
        <v>165.49799999999999</v>
      </c>
      <c r="J12" s="149">
        <v>194.69</v>
      </c>
      <c r="K12" s="149">
        <v>215.441</v>
      </c>
      <c r="L12" s="149">
        <v>230.58000999999999</v>
      </c>
      <c r="M12" s="149">
        <v>234.990476</v>
      </c>
      <c r="N12" s="301"/>
      <c r="O12" s="94"/>
      <c r="P12" s="95"/>
      <c r="Q12" s="96"/>
    </row>
    <row r="13" spans="1:17" ht="18.75" customHeight="1">
      <c r="A13" s="7" t="s">
        <v>46</v>
      </c>
      <c r="B13" s="11">
        <f>MROUND(B12*1000000/B11,10)</f>
        <v>830</v>
      </c>
      <c r="C13" s="11">
        <f t="shared" ref="C13" si="1">MROUND(C12*1000000/C11,10)</f>
        <v>800</v>
      </c>
      <c r="D13" s="11">
        <v>800</v>
      </c>
      <c r="E13" s="11">
        <v>800</v>
      </c>
      <c r="F13" s="11">
        <v>800</v>
      </c>
      <c r="G13" s="11">
        <v>800</v>
      </c>
      <c r="H13" s="11">
        <v>810</v>
      </c>
      <c r="I13" s="179">
        <v>4140</v>
      </c>
      <c r="J13" s="11">
        <v>4460</v>
      </c>
      <c r="K13" s="11">
        <v>4540</v>
      </c>
      <c r="L13" s="11">
        <v>4590</v>
      </c>
      <c r="M13" s="11">
        <v>4620</v>
      </c>
      <c r="N13" s="301"/>
      <c r="O13" s="94"/>
      <c r="P13" s="95"/>
      <c r="Q13" s="96"/>
    </row>
    <row r="14" spans="1:17" ht="18.75" customHeight="1">
      <c r="B14" s="35"/>
      <c r="C14" s="35"/>
      <c r="D14" s="35"/>
      <c r="E14" s="35"/>
      <c r="F14" s="35"/>
      <c r="G14" s="35"/>
      <c r="H14" s="35"/>
      <c r="I14" s="179"/>
      <c r="J14" s="35"/>
      <c r="K14" s="35"/>
      <c r="L14" s="35"/>
      <c r="M14" s="35"/>
      <c r="N14" s="301"/>
    </row>
    <row r="15" spans="1:17" ht="18.75" customHeight="1">
      <c r="A15" s="2" t="s">
        <v>8</v>
      </c>
      <c r="B15" s="19"/>
      <c r="C15" s="19"/>
      <c r="D15" s="19"/>
      <c r="E15" s="19"/>
      <c r="F15" s="19"/>
      <c r="G15" s="19"/>
      <c r="H15" s="19"/>
      <c r="I15" s="229"/>
      <c r="J15" s="19"/>
      <c r="K15" s="19"/>
      <c r="L15" s="19"/>
      <c r="M15" s="19"/>
      <c r="N15" s="301"/>
    </row>
    <row r="16" spans="1:17" ht="18.75" customHeight="1">
      <c r="A16" s="21" t="s">
        <v>77</v>
      </c>
      <c r="B16" s="35">
        <v>64600</v>
      </c>
      <c r="C16" s="35">
        <v>62350</v>
      </c>
      <c r="D16" s="35">
        <v>56180</v>
      </c>
      <c r="E16" s="35">
        <v>57810</v>
      </c>
      <c r="F16" s="35">
        <v>60130</v>
      </c>
      <c r="G16" s="35">
        <v>59390</v>
      </c>
      <c r="H16" s="35">
        <v>59785</v>
      </c>
      <c r="I16" s="179">
        <v>45675</v>
      </c>
      <c r="J16" s="35">
        <v>45375</v>
      </c>
      <c r="K16" s="35">
        <v>46115</v>
      </c>
      <c r="L16" s="35">
        <v>45230</v>
      </c>
      <c r="M16" s="35">
        <v>45145</v>
      </c>
      <c r="N16" s="301"/>
      <c r="O16" s="94"/>
      <c r="P16" s="95"/>
      <c r="Q16" s="96"/>
    </row>
    <row r="17" spans="1:17" ht="18.75" customHeight="1">
      <c r="A17" s="7" t="s">
        <v>130</v>
      </c>
      <c r="B17" s="149">
        <v>129.44200000000001</v>
      </c>
      <c r="C17" s="149">
        <v>115.98099999999999</v>
      </c>
      <c r="D17" s="149">
        <v>117.748</v>
      </c>
      <c r="E17" s="149">
        <v>125.473</v>
      </c>
      <c r="F17" s="149">
        <v>137.43799999999999</v>
      </c>
      <c r="G17" s="149">
        <v>153.92599999999999</v>
      </c>
      <c r="H17" s="149">
        <v>161.928</v>
      </c>
      <c r="I17" s="180">
        <v>264.089</v>
      </c>
      <c r="J17" s="149">
        <v>274.15699999999998</v>
      </c>
      <c r="K17" s="149">
        <v>277.71553699999998</v>
      </c>
      <c r="L17" s="149">
        <v>275.40866399999999</v>
      </c>
      <c r="M17" s="149">
        <v>275.86540500000001</v>
      </c>
      <c r="O17" s="94"/>
      <c r="P17" s="95"/>
      <c r="Q17" s="96"/>
    </row>
    <row r="18" spans="1:17" ht="18.75" customHeight="1">
      <c r="A18" s="7" t="s">
        <v>134</v>
      </c>
      <c r="B18" s="11">
        <f>MROUND(B17*1000000/B16,10)</f>
        <v>2000</v>
      </c>
      <c r="C18" s="11">
        <f t="shared" ref="C18" si="2">MROUND(C17*1000000/C16,10)</f>
        <v>1860</v>
      </c>
      <c r="D18" s="11">
        <v>2100</v>
      </c>
      <c r="E18" s="11">
        <v>2170</v>
      </c>
      <c r="F18" s="11">
        <v>2290</v>
      </c>
      <c r="G18" s="11">
        <v>2590</v>
      </c>
      <c r="H18" s="11">
        <v>2710</v>
      </c>
      <c r="I18" s="179">
        <v>5780</v>
      </c>
      <c r="J18" s="11">
        <v>6040</v>
      </c>
      <c r="K18" s="11">
        <v>6020</v>
      </c>
      <c r="L18" s="11">
        <v>6090</v>
      </c>
      <c r="M18" s="11">
        <v>6110</v>
      </c>
      <c r="N18" s="136"/>
      <c r="O18" s="94"/>
      <c r="P18" s="95"/>
      <c r="Q18" s="96"/>
    </row>
    <row r="19" spans="1:17" ht="18.75" customHeight="1">
      <c r="B19" s="35"/>
      <c r="C19" s="35"/>
      <c r="D19" s="35"/>
      <c r="E19" s="35"/>
      <c r="F19" s="35"/>
      <c r="G19" s="35"/>
      <c r="H19" s="35"/>
      <c r="I19" s="179"/>
      <c r="J19" s="35"/>
      <c r="K19" s="35"/>
      <c r="L19" s="35"/>
      <c r="M19" s="35"/>
      <c r="N19" s="301"/>
    </row>
    <row r="20" spans="1:17" ht="18.75" customHeight="1">
      <c r="A20" s="2" t="s">
        <v>9</v>
      </c>
      <c r="B20" s="35"/>
      <c r="C20" s="35"/>
      <c r="D20" s="35"/>
      <c r="E20" s="35"/>
      <c r="F20" s="35"/>
      <c r="G20" s="35"/>
      <c r="H20" s="35"/>
      <c r="I20" s="179"/>
      <c r="J20" s="35"/>
      <c r="K20" s="35"/>
      <c r="L20" s="35"/>
      <c r="M20" s="35"/>
      <c r="N20" s="294"/>
    </row>
    <row r="21" spans="1:17" ht="18.75" customHeight="1">
      <c r="A21" s="21" t="s">
        <v>77</v>
      </c>
      <c r="B21" s="35">
        <v>17545</v>
      </c>
      <c r="C21" s="35">
        <v>17505</v>
      </c>
      <c r="D21" s="35">
        <v>15075</v>
      </c>
      <c r="E21" s="35">
        <v>15465</v>
      </c>
      <c r="F21" s="35">
        <v>31865</v>
      </c>
      <c r="G21" s="35">
        <v>34520</v>
      </c>
      <c r="H21" s="35">
        <v>33885</v>
      </c>
      <c r="I21" s="179" t="s">
        <v>19</v>
      </c>
      <c r="J21" s="35" t="s">
        <v>19</v>
      </c>
      <c r="K21" s="35" t="s">
        <v>19</v>
      </c>
      <c r="L21" s="35" t="s">
        <v>19</v>
      </c>
      <c r="M21" s="35" t="s">
        <v>19</v>
      </c>
      <c r="N21" s="318"/>
      <c r="O21" s="94"/>
      <c r="P21" s="95"/>
      <c r="Q21" s="96"/>
    </row>
    <row r="22" spans="1:17" ht="18.75" customHeight="1">
      <c r="A22" s="7" t="s">
        <v>130</v>
      </c>
      <c r="B22" s="149">
        <v>8.6329999999999991</v>
      </c>
      <c r="C22" s="149">
        <v>8.891</v>
      </c>
      <c r="D22" s="149">
        <v>8.2260000000000009</v>
      </c>
      <c r="E22" s="149">
        <v>8.6329999999999991</v>
      </c>
      <c r="F22" s="149">
        <v>23.614000000000001</v>
      </c>
      <c r="G22" s="149">
        <v>25.65</v>
      </c>
      <c r="H22" s="149">
        <v>25.89</v>
      </c>
      <c r="I22" s="180" t="s">
        <v>19</v>
      </c>
      <c r="J22" s="11" t="s">
        <v>19</v>
      </c>
      <c r="K22" s="11" t="s">
        <v>19</v>
      </c>
      <c r="L22" s="11" t="s">
        <v>19</v>
      </c>
      <c r="M22" s="11" t="s">
        <v>19</v>
      </c>
      <c r="N22" s="136"/>
      <c r="O22" s="94"/>
      <c r="P22" s="95"/>
      <c r="Q22" s="96"/>
    </row>
    <row r="23" spans="1:17" ht="18.75" customHeight="1">
      <c r="A23" s="24" t="s">
        <v>134</v>
      </c>
      <c r="B23" s="37">
        <f t="shared" ref="B23:C23" si="3">MROUND(B22*1000000/B21,10)</f>
        <v>490</v>
      </c>
      <c r="C23" s="37">
        <f t="shared" si="3"/>
        <v>510</v>
      </c>
      <c r="D23" s="37">
        <v>550</v>
      </c>
      <c r="E23" s="37">
        <v>560</v>
      </c>
      <c r="F23" s="37">
        <v>740</v>
      </c>
      <c r="G23" s="37">
        <v>740</v>
      </c>
      <c r="H23" s="37">
        <v>760</v>
      </c>
      <c r="I23" s="181" t="s">
        <v>19</v>
      </c>
      <c r="J23" s="37" t="s">
        <v>19</v>
      </c>
      <c r="K23" s="37" t="s">
        <v>19</v>
      </c>
      <c r="L23" s="37" t="s">
        <v>19</v>
      </c>
      <c r="M23" s="37" t="s">
        <v>19</v>
      </c>
      <c r="N23" s="136"/>
      <c r="O23" s="94"/>
      <c r="P23" s="95"/>
      <c r="Q23" s="96"/>
    </row>
    <row r="24" spans="1:17" ht="18.75" customHeight="1">
      <c r="A24" s="315" t="s">
        <v>278</v>
      </c>
      <c r="B24" s="11"/>
      <c r="C24" s="11"/>
      <c r="D24" s="11"/>
      <c r="E24" s="11"/>
      <c r="F24" s="11"/>
      <c r="G24" s="11"/>
      <c r="H24" s="11"/>
      <c r="I24" s="179"/>
      <c r="J24" s="11"/>
      <c r="K24" s="11"/>
      <c r="L24" s="11"/>
      <c r="M24" s="11"/>
      <c r="N24" s="136"/>
      <c r="O24" s="94"/>
      <c r="P24" s="95"/>
      <c r="Q24" s="96"/>
    </row>
    <row r="25" spans="1:17" ht="18.75" customHeight="1">
      <c r="A25" s="21" t="s">
        <v>77</v>
      </c>
      <c r="B25" s="35">
        <v>17545</v>
      </c>
      <c r="C25" s="35">
        <v>17505</v>
      </c>
      <c r="D25" s="35" t="s">
        <v>19</v>
      </c>
      <c r="E25" s="35" t="s">
        <v>19</v>
      </c>
      <c r="F25" s="35" t="s">
        <v>19</v>
      </c>
      <c r="G25" s="35" t="s">
        <v>19</v>
      </c>
      <c r="H25" s="35" t="s">
        <v>19</v>
      </c>
      <c r="I25" s="179" t="s">
        <v>19</v>
      </c>
      <c r="J25" s="35" t="s">
        <v>19</v>
      </c>
      <c r="K25" s="35">
        <v>1525</v>
      </c>
      <c r="L25" s="35">
        <v>2125</v>
      </c>
      <c r="M25" s="35">
        <v>3890</v>
      </c>
      <c r="N25" s="136"/>
      <c r="O25" s="94"/>
      <c r="P25" s="95"/>
      <c r="Q25" s="96"/>
    </row>
    <row r="26" spans="1:17" ht="18.75" customHeight="1">
      <c r="A26" s="7" t="s">
        <v>130</v>
      </c>
      <c r="B26" s="149">
        <v>8.6329999999999991</v>
      </c>
      <c r="C26" s="149">
        <v>8.891</v>
      </c>
      <c r="D26" s="149" t="s">
        <v>19</v>
      </c>
      <c r="E26" s="149" t="s">
        <v>19</v>
      </c>
      <c r="F26" s="149" t="s">
        <v>19</v>
      </c>
      <c r="G26" s="149" t="s">
        <v>19</v>
      </c>
      <c r="H26" s="149" t="s">
        <v>19</v>
      </c>
      <c r="I26" s="180" t="s">
        <v>19</v>
      </c>
      <c r="J26" s="11" t="s">
        <v>19</v>
      </c>
      <c r="K26" s="149">
        <v>6.8715000000000002</v>
      </c>
      <c r="L26" s="149">
        <v>9.5534999999999997</v>
      </c>
      <c r="M26" s="149">
        <v>17.500499999999999</v>
      </c>
      <c r="N26" s="136"/>
      <c r="O26" s="94"/>
      <c r="P26" s="95"/>
      <c r="Q26" s="96"/>
    </row>
    <row r="27" spans="1:17" ht="18.75" customHeight="1">
      <c r="A27" s="24" t="s">
        <v>134</v>
      </c>
      <c r="B27" s="37">
        <f t="shared" ref="B27:C27" si="4">MROUND(B26*1000000/B25,10)</f>
        <v>490</v>
      </c>
      <c r="C27" s="37">
        <f t="shared" si="4"/>
        <v>510</v>
      </c>
      <c r="D27" s="37" t="s">
        <v>19</v>
      </c>
      <c r="E27" s="37" t="s">
        <v>19</v>
      </c>
      <c r="F27" s="37" t="s">
        <v>19</v>
      </c>
      <c r="G27" s="37" t="s">
        <v>19</v>
      </c>
      <c r="H27" s="37" t="s">
        <v>19</v>
      </c>
      <c r="I27" s="181" t="s">
        <v>19</v>
      </c>
      <c r="J27" s="37" t="s">
        <v>19</v>
      </c>
      <c r="K27" s="37">
        <v>4510</v>
      </c>
      <c r="L27" s="37">
        <v>4500</v>
      </c>
      <c r="M27" s="37">
        <v>4500</v>
      </c>
      <c r="N27" s="136"/>
      <c r="O27" s="94"/>
      <c r="P27" s="95"/>
      <c r="Q27" s="96"/>
    </row>
    <row r="28" spans="1:17">
      <c r="N28" s="136"/>
    </row>
    <row r="29" spans="1:17">
      <c r="A29" s="230" t="s">
        <v>210</v>
      </c>
      <c r="N29" s="136"/>
    </row>
    <row r="31" spans="1:17">
      <c r="A31" s="81" t="s">
        <v>44</v>
      </c>
    </row>
    <row r="32" spans="1:17">
      <c r="A32" s="12"/>
    </row>
    <row r="33" spans="1:6">
      <c r="A33" s="5" t="s">
        <v>111</v>
      </c>
      <c r="B33" s="5"/>
      <c r="C33" s="5"/>
      <c r="D33" s="5"/>
      <c r="E33" s="5"/>
      <c r="F33" s="5"/>
    </row>
    <row r="34" spans="1:6">
      <c r="A34" s="5" t="s">
        <v>110</v>
      </c>
      <c r="B34" s="5"/>
      <c r="C34" s="5"/>
      <c r="D34" s="5"/>
      <c r="E34" s="5"/>
      <c r="F34" s="5"/>
    </row>
    <row r="35" spans="1:6">
      <c r="A35" s="5"/>
      <c r="B35" s="5"/>
      <c r="C35" s="5"/>
      <c r="D35" s="5"/>
      <c r="E35" s="5"/>
      <c r="F35" s="5"/>
    </row>
    <row r="36" spans="1:6">
      <c r="A36" s="5" t="s">
        <v>112</v>
      </c>
      <c r="B36" s="5"/>
      <c r="C36" s="5"/>
      <c r="D36" s="5"/>
      <c r="E36" s="5"/>
      <c r="F36" s="5"/>
    </row>
    <row r="37" spans="1:6">
      <c r="A37" s="5" t="s">
        <v>113</v>
      </c>
      <c r="B37" s="5"/>
      <c r="C37" s="5"/>
      <c r="D37" s="5"/>
      <c r="E37" s="5"/>
      <c r="F37" s="5"/>
    </row>
    <row r="38" spans="1:6">
      <c r="A38" s="5"/>
      <c r="B38" s="5"/>
      <c r="C38" s="5"/>
      <c r="D38" s="5"/>
      <c r="E38" s="5"/>
      <c r="F38" s="5"/>
    </row>
    <row r="39" spans="1:6">
      <c r="A39" s="5" t="s">
        <v>115</v>
      </c>
      <c r="B39" s="5"/>
      <c r="C39" s="5"/>
      <c r="D39" s="5"/>
      <c r="E39" s="5"/>
      <c r="F39" s="5"/>
    </row>
    <row r="40" spans="1:6">
      <c r="A40" s="5" t="s">
        <v>114</v>
      </c>
    </row>
    <row r="42" spans="1:6">
      <c r="A42" s="1" t="s">
        <v>135</v>
      </c>
    </row>
  </sheetData>
  <mergeCells count="1">
    <mergeCell ref="P4:Q4"/>
  </mergeCells>
  <phoneticPr fontId="3" type="noConversion"/>
  <hyperlinks>
    <hyperlink ref="M1" location="Contents!A1" display="&gt;&gt; Contents"/>
  </hyperlinks>
  <pageMargins left="0.39370078740157483" right="0.39370078740157483" top="0.39370078740157483" bottom="0.39370078740157483" header="0" footer="0"/>
  <pageSetup paperSize="9" scale="75" fitToHeight="0" orientation="portrait" r:id="rId1"/>
  <headerFooter>
    <oddFooter>&amp;C&amp;"Calibri,Regular"&amp;KFF0000RESTRICTED STATISTICS Not for release until 25 October 2016</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002060"/>
    <pageSetUpPr fitToPage="1"/>
  </sheetPr>
  <dimension ref="A1:V30"/>
  <sheetViews>
    <sheetView showGridLines="0" zoomScaleNormal="100" workbookViewId="0"/>
  </sheetViews>
  <sheetFormatPr defaultColWidth="10.7109375" defaultRowHeight="15.75"/>
  <cols>
    <col min="1" max="1" width="46" style="1" customWidth="1"/>
    <col min="2" max="2" width="0" style="1" hidden="1" customWidth="1"/>
    <col min="3" max="3" width="10.7109375" style="1" hidden="1" customWidth="1"/>
    <col min="4" max="4" width="2" style="1" customWidth="1"/>
    <col min="5" max="5" width="0" style="1" hidden="1" customWidth="1"/>
    <col min="6" max="6" width="10.7109375" style="1"/>
    <col min="7" max="7" width="10.7109375" style="1" customWidth="1"/>
    <col min="8" max="8" width="10.7109375" style="1"/>
    <col min="9" max="9" width="10.7109375" style="1" customWidth="1"/>
    <col min="10" max="10" width="10.7109375" style="1"/>
    <col min="11" max="11" width="11" style="1" customWidth="1"/>
    <col min="12" max="13" width="10.7109375" style="1"/>
    <col min="14" max="14" width="12.28515625" style="1" bestFit="1" customWidth="1"/>
    <col min="15" max="16" width="12.28515625" style="1" customWidth="1"/>
    <col min="17" max="16384" width="10.7109375" style="1"/>
  </cols>
  <sheetData>
    <row r="1" spans="1:22" ht="23.25">
      <c r="A1" s="138" t="str">
        <f>Contents!A1</f>
        <v>Higher Education Student Support in Scotland 2017-18</v>
      </c>
      <c r="B1" s="139"/>
      <c r="C1" s="139"/>
      <c r="D1" s="139"/>
      <c r="E1" s="139"/>
      <c r="F1" s="139"/>
      <c r="G1" s="139"/>
      <c r="H1" s="140"/>
      <c r="I1" s="139"/>
      <c r="J1" s="140"/>
      <c r="K1" s="139"/>
      <c r="L1" s="139"/>
      <c r="M1" s="140" t="s">
        <v>70</v>
      </c>
    </row>
    <row r="2" spans="1:22" ht="18.75">
      <c r="A2" s="60" t="str">
        <f ca="1">CONCATENATE(REPLACE(CELL("Filename",A2),1,FIND("]",CELL("filename",A2)),""),": Full-time students receving DSA support by disability type")</f>
        <v>Table A12: Full-time students receving DSA support by disability type</v>
      </c>
      <c r="B2" s="33"/>
      <c r="C2" s="33"/>
      <c r="D2" s="33"/>
      <c r="E2" s="33"/>
      <c r="F2" s="33"/>
      <c r="G2" s="33"/>
      <c r="H2" s="59"/>
      <c r="I2" s="33"/>
      <c r="J2" s="59"/>
      <c r="K2" s="33"/>
      <c r="L2" s="33"/>
      <c r="M2" s="59"/>
    </row>
    <row r="3" spans="1:22">
      <c r="A3" s="172"/>
    </row>
    <row r="4" spans="1:22" ht="22.5" customHeight="1">
      <c r="A4" s="28"/>
      <c r="B4" s="331" t="s">
        <v>59</v>
      </c>
      <c r="C4" s="331"/>
      <c r="D4" s="29"/>
      <c r="E4" s="29"/>
      <c r="F4" s="331" t="s">
        <v>169</v>
      </c>
      <c r="G4" s="331"/>
      <c r="H4" s="331" t="s">
        <v>233</v>
      </c>
      <c r="I4" s="331"/>
      <c r="J4" s="331" t="s">
        <v>246</v>
      </c>
      <c r="K4" s="331"/>
      <c r="L4" s="331" t="s">
        <v>253</v>
      </c>
      <c r="M4" s="331"/>
    </row>
    <row r="5" spans="1:22" ht="144" customHeight="1">
      <c r="A5" s="30"/>
      <c r="B5" s="31" t="s">
        <v>21</v>
      </c>
      <c r="C5" s="31" t="s">
        <v>130</v>
      </c>
      <c r="D5" s="32"/>
      <c r="E5" s="32"/>
      <c r="F5" s="31" t="s">
        <v>21</v>
      </c>
      <c r="G5" s="31" t="s">
        <v>130</v>
      </c>
      <c r="H5" s="31" t="s">
        <v>21</v>
      </c>
      <c r="I5" s="31" t="s">
        <v>130</v>
      </c>
      <c r="J5" s="31" t="s">
        <v>21</v>
      </c>
      <c r="K5" s="31" t="s">
        <v>130</v>
      </c>
      <c r="L5" s="31" t="s">
        <v>21</v>
      </c>
      <c r="M5" s="31" t="s">
        <v>130</v>
      </c>
    </row>
    <row r="6" spans="1:22" ht="18.75" customHeight="1">
      <c r="A6" s="14" t="s">
        <v>29</v>
      </c>
      <c r="B6" s="33"/>
      <c r="C6" s="33"/>
      <c r="D6" s="33"/>
      <c r="E6" s="33"/>
      <c r="F6" s="33"/>
      <c r="G6" s="33"/>
      <c r="H6" s="33"/>
      <c r="I6" s="33"/>
      <c r="J6" s="33"/>
      <c r="K6" s="33"/>
      <c r="L6" s="33"/>
      <c r="M6" s="33"/>
      <c r="O6" s="338"/>
      <c r="P6" s="338"/>
      <c r="Q6" s="330"/>
      <c r="R6" s="337"/>
      <c r="S6" s="330"/>
      <c r="T6" s="337"/>
    </row>
    <row r="7" spans="1:22" ht="18.75" customHeight="1">
      <c r="A7" s="42" t="s">
        <v>69</v>
      </c>
      <c r="B7" s="106">
        <v>4495</v>
      </c>
      <c r="C7" s="304">
        <v>9.0220000000000002</v>
      </c>
      <c r="D7" s="106"/>
      <c r="E7" s="106"/>
      <c r="F7" s="106">
        <v>4270</v>
      </c>
      <c r="G7" s="304">
        <v>7.2370000000000001</v>
      </c>
      <c r="H7" s="106">
        <v>4355</v>
      </c>
      <c r="I7" s="304">
        <v>7.7320000000000002</v>
      </c>
      <c r="J7" s="106">
        <v>4415</v>
      </c>
      <c r="K7" s="304">
        <v>7.8541530000000002</v>
      </c>
      <c r="L7" s="106">
        <v>4655</v>
      </c>
      <c r="M7" s="304">
        <v>8.5539799999999993</v>
      </c>
      <c r="N7" s="308"/>
      <c r="O7" s="223"/>
      <c r="P7" s="223"/>
      <c r="Q7" s="94"/>
      <c r="R7" s="94"/>
      <c r="S7" s="94"/>
      <c r="T7" s="94"/>
    </row>
    <row r="8" spans="1:22" ht="18.75" customHeight="1">
      <c r="A8" s="16" t="s">
        <v>255</v>
      </c>
      <c r="B8" s="38"/>
      <c r="C8" s="163"/>
      <c r="D8" s="38"/>
      <c r="E8" s="38"/>
      <c r="F8" s="38">
        <v>490</v>
      </c>
      <c r="G8" s="163">
        <v>1.0961970000000001</v>
      </c>
      <c r="H8" s="38">
        <v>530</v>
      </c>
      <c r="I8" s="163">
        <v>1.1531450000000001</v>
      </c>
      <c r="J8" s="38">
        <v>555</v>
      </c>
      <c r="K8" s="163">
        <v>1.2125859999999999</v>
      </c>
      <c r="L8" s="38">
        <v>550</v>
      </c>
      <c r="M8" s="163">
        <v>1.172938</v>
      </c>
      <c r="N8" s="309"/>
      <c r="O8" s="36"/>
      <c r="P8" s="36"/>
      <c r="Q8" s="94"/>
      <c r="R8" s="94"/>
      <c r="S8" s="94"/>
      <c r="T8" s="94"/>
    </row>
    <row r="9" spans="1:22" ht="18.75" customHeight="1">
      <c r="B9" s="35"/>
      <c r="C9" s="164"/>
      <c r="D9" s="35"/>
      <c r="E9" s="35"/>
      <c r="F9" s="35"/>
      <c r="G9" s="164"/>
      <c r="H9" s="35"/>
      <c r="I9" s="164"/>
      <c r="J9" s="35"/>
      <c r="K9" s="164"/>
      <c r="L9" s="35"/>
      <c r="M9" s="164"/>
      <c r="N9" s="310"/>
      <c r="O9" s="165"/>
      <c r="P9" s="165"/>
    </row>
    <row r="10" spans="1:22" ht="18.75" customHeight="1">
      <c r="A10" s="2" t="s">
        <v>256</v>
      </c>
      <c r="B10" s="36"/>
      <c r="C10" s="165"/>
      <c r="D10" s="36"/>
      <c r="E10" s="36"/>
      <c r="F10" s="36"/>
      <c r="G10" s="165"/>
      <c r="H10" s="36"/>
      <c r="I10" s="165"/>
      <c r="N10" s="308"/>
      <c r="O10" s="311"/>
      <c r="P10" s="311"/>
      <c r="V10" s="18"/>
    </row>
    <row r="11" spans="1:22" ht="18.75" customHeight="1">
      <c r="A11" s="21" t="s">
        <v>39</v>
      </c>
      <c r="B11" s="35">
        <v>2755</v>
      </c>
      <c r="C11" s="164">
        <v>3.9620739999999999</v>
      </c>
      <c r="D11" s="35"/>
      <c r="E11" s="35"/>
      <c r="F11" s="35">
        <v>2610</v>
      </c>
      <c r="G11" s="164">
        <v>3.2229999999999999</v>
      </c>
      <c r="H11" s="35">
        <v>2460</v>
      </c>
      <c r="I11" s="164">
        <v>3.07</v>
      </c>
      <c r="J11" s="35">
        <v>2460</v>
      </c>
      <c r="K11" s="164">
        <v>3.2304469999999998</v>
      </c>
      <c r="L11" s="35">
        <v>2370</v>
      </c>
      <c r="M11" s="164">
        <v>3.2583579999999999</v>
      </c>
      <c r="N11" s="208"/>
      <c r="O11" s="305"/>
      <c r="P11" s="305"/>
      <c r="Q11" s="94"/>
      <c r="R11" s="94"/>
      <c r="S11" s="94"/>
      <c r="T11" s="94"/>
      <c r="V11" s="18"/>
    </row>
    <row r="12" spans="1:22" ht="18.75" customHeight="1">
      <c r="A12" s="21" t="s">
        <v>247</v>
      </c>
      <c r="B12" s="35">
        <v>95</v>
      </c>
      <c r="C12" s="164">
        <v>0.25326100000000001</v>
      </c>
      <c r="D12" s="35"/>
      <c r="E12" s="35"/>
      <c r="F12" s="35">
        <v>195</v>
      </c>
      <c r="G12" s="164">
        <v>0.38400000000000001</v>
      </c>
      <c r="H12" s="35">
        <v>475</v>
      </c>
      <c r="I12" s="164">
        <v>1.2490000000000001</v>
      </c>
      <c r="J12" s="35">
        <v>480</v>
      </c>
      <c r="K12" s="164">
        <v>1.2603690000000001</v>
      </c>
      <c r="L12" s="35">
        <v>500</v>
      </c>
      <c r="M12" s="164">
        <v>1.1889860000000001</v>
      </c>
      <c r="N12" s="136"/>
      <c r="O12" s="305"/>
      <c r="P12" s="305"/>
      <c r="Q12" s="94"/>
      <c r="R12" s="94"/>
      <c r="S12" s="94"/>
      <c r="T12" s="94"/>
      <c r="V12" s="18"/>
    </row>
    <row r="13" spans="1:22" ht="18.75" customHeight="1">
      <c r="A13" s="21" t="s">
        <v>52</v>
      </c>
      <c r="B13" s="35">
        <v>260</v>
      </c>
      <c r="C13" s="164">
        <v>0.432755</v>
      </c>
      <c r="D13" s="35"/>
      <c r="E13" s="35"/>
      <c r="F13" s="35">
        <v>265</v>
      </c>
      <c r="G13" s="164">
        <v>0.35599999999999998</v>
      </c>
      <c r="H13" s="35">
        <v>325</v>
      </c>
      <c r="I13" s="164">
        <v>0.48</v>
      </c>
      <c r="J13" s="35">
        <v>355</v>
      </c>
      <c r="K13" s="164">
        <v>0.47273799999999999</v>
      </c>
      <c r="L13" s="35">
        <v>495</v>
      </c>
      <c r="M13" s="164">
        <v>0.72233800000000004</v>
      </c>
      <c r="N13" s="136"/>
      <c r="O13" s="305"/>
      <c r="P13" s="305"/>
      <c r="Q13" s="94"/>
      <c r="R13" s="94"/>
      <c r="S13" s="94"/>
      <c r="T13" s="94"/>
      <c r="V13" s="18"/>
    </row>
    <row r="14" spans="1:22" ht="18.75" customHeight="1">
      <c r="A14" s="21" t="s">
        <v>47</v>
      </c>
      <c r="B14" s="35">
        <v>95</v>
      </c>
      <c r="C14" s="164">
        <v>0.25326100000000001</v>
      </c>
      <c r="D14" s="35"/>
      <c r="E14" s="35"/>
      <c r="F14" s="35">
        <v>150</v>
      </c>
      <c r="G14" s="164">
        <v>0.373</v>
      </c>
      <c r="H14" s="35">
        <v>190</v>
      </c>
      <c r="I14" s="164">
        <v>0.47699999999999998</v>
      </c>
      <c r="J14" s="35">
        <v>180</v>
      </c>
      <c r="K14" s="164">
        <v>0.36753200000000003</v>
      </c>
      <c r="L14" s="35">
        <v>225</v>
      </c>
      <c r="M14" s="164">
        <v>0.51432299999999997</v>
      </c>
      <c r="N14" s="136"/>
      <c r="O14" s="305"/>
      <c r="P14" s="305"/>
      <c r="Q14" s="94"/>
      <c r="R14" s="94"/>
      <c r="S14" s="94"/>
      <c r="T14" s="94"/>
      <c r="V14" s="18"/>
    </row>
    <row r="15" spans="1:22" ht="18.75" customHeight="1">
      <c r="A15" s="21" t="s">
        <v>248</v>
      </c>
      <c r="B15" s="35">
        <v>95</v>
      </c>
      <c r="C15" s="164">
        <v>0.25326100000000001</v>
      </c>
      <c r="D15" s="35"/>
      <c r="E15" s="35"/>
      <c r="F15" s="35">
        <v>30</v>
      </c>
      <c r="G15" s="164">
        <v>3.1E-2</v>
      </c>
      <c r="H15" s="35">
        <v>140</v>
      </c>
      <c r="I15" s="164">
        <v>0.372</v>
      </c>
      <c r="J15" s="35">
        <v>160</v>
      </c>
      <c r="K15" s="164">
        <v>0.33293099999999998</v>
      </c>
      <c r="L15" s="35">
        <v>205</v>
      </c>
      <c r="M15" s="164">
        <v>0.44362099999999999</v>
      </c>
      <c r="N15" s="136"/>
      <c r="O15" s="305"/>
      <c r="P15" s="305"/>
      <c r="Q15" s="94"/>
      <c r="R15" s="94"/>
      <c r="S15" s="94"/>
      <c r="T15" s="94"/>
      <c r="V15" s="18"/>
    </row>
    <row r="16" spans="1:22" ht="18.75" customHeight="1">
      <c r="A16" s="21" t="s">
        <v>54</v>
      </c>
      <c r="B16" s="35">
        <v>10</v>
      </c>
      <c r="C16" s="164">
        <v>1.1639E-2</v>
      </c>
      <c r="D16" s="35"/>
      <c r="E16" s="35"/>
      <c r="F16" s="35">
        <v>35</v>
      </c>
      <c r="G16" s="164">
        <v>5.6000000000000001E-2</v>
      </c>
      <c r="H16" s="35">
        <v>65</v>
      </c>
      <c r="I16" s="164">
        <v>9.2999999999999999E-2</v>
      </c>
      <c r="J16" s="35">
        <v>65</v>
      </c>
      <c r="K16" s="164">
        <v>9.468E-2</v>
      </c>
      <c r="L16" s="35">
        <v>90</v>
      </c>
      <c r="M16" s="164">
        <v>0.162824</v>
      </c>
      <c r="N16" s="136"/>
      <c r="O16" s="305"/>
      <c r="P16" s="305"/>
      <c r="Q16" s="94"/>
      <c r="R16" s="94"/>
      <c r="S16" s="94"/>
      <c r="T16" s="94"/>
      <c r="V16" s="18"/>
    </row>
    <row r="17" spans="1:22" ht="18.75" customHeight="1">
      <c r="A17" s="21" t="s">
        <v>49</v>
      </c>
      <c r="B17" s="35">
        <v>110</v>
      </c>
      <c r="C17" s="164">
        <v>0.57607600000000003</v>
      </c>
      <c r="D17" s="35"/>
      <c r="E17" s="35"/>
      <c r="F17" s="35">
        <v>90</v>
      </c>
      <c r="G17" s="164">
        <v>0.443</v>
      </c>
      <c r="H17" s="35">
        <v>80</v>
      </c>
      <c r="I17" s="164">
        <v>0.47699999999999998</v>
      </c>
      <c r="J17" s="35">
        <v>85</v>
      </c>
      <c r="K17" s="164">
        <v>0.48929499999999998</v>
      </c>
      <c r="L17" s="35">
        <v>85</v>
      </c>
      <c r="M17" s="164">
        <v>0.491925</v>
      </c>
      <c r="N17" s="136"/>
      <c r="O17" s="305"/>
      <c r="P17" s="305"/>
      <c r="Q17" s="94"/>
      <c r="R17" s="94"/>
      <c r="S17" s="94"/>
      <c r="T17" s="94"/>
      <c r="V17" s="18"/>
    </row>
    <row r="18" spans="1:22" ht="18.75" customHeight="1">
      <c r="A18" s="21" t="s">
        <v>58</v>
      </c>
      <c r="B18" s="35">
        <v>140</v>
      </c>
      <c r="C18" s="164">
        <v>0.46609699999999998</v>
      </c>
      <c r="D18" s="35"/>
      <c r="E18" s="35"/>
      <c r="F18" s="35">
        <v>85</v>
      </c>
      <c r="G18" s="164">
        <v>0.27300000000000002</v>
      </c>
      <c r="H18" s="35">
        <v>85</v>
      </c>
      <c r="I18" s="164">
        <v>0.255</v>
      </c>
      <c r="J18" s="35">
        <v>80</v>
      </c>
      <c r="K18" s="164">
        <v>0.28979100000000002</v>
      </c>
      <c r="L18" s="35">
        <v>75</v>
      </c>
      <c r="M18" s="164">
        <v>0.32653599999999999</v>
      </c>
      <c r="N18" s="136"/>
      <c r="O18" s="305"/>
      <c r="P18" s="305"/>
      <c r="Q18" s="94"/>
      <c r="R18" s="94"/>
      <c r="S18" s="94"/>
      <c r="T18" s="94"/>
      <c r="V18" s="18"/>
    </row>
    <row r="19" spans="1:22" ht="18.75" customHeight="1">
      <c r="A19" s="21" t="s">
        <v>55</v>
      </c>
      <c r="B19" s="35">
        <v>150</v>
      </c>
      <c r="C19" s="164">
        <v>0.50127500000000003</v>
      </c>
      <c r="D19" s="35"/>
      <c r="E19" s="35"/>
      <c r="F19" s="35">
        <v>65</v>
      </c>
      <c r="G19" s="164">
        <v>0.18</v>
      </c>
      <c r="H19" s="35">
        <v>60</v>
      </c>
      <c r="I19" s="164">
        <v>0.17699999999999999</v>
      </c>
      <c r="J19" s="35">
        <v>25</v>
      </c>
      <c r="K19" s="164">
        <v>0.12515299999999999</v>
      </c>
      <c r="L19" s="35">
        <v>40</v>
      </c>
      <c r="M19" s="164">
        <v>0.13064500000000001</v>
      </c>
      <c r="N19" s="136"/>
      <c r="O19" s="305"/>
      <c r="P19" s="305"/>
      <c r="Q19" s="94"/>
      <c r="R19" s="94"/>
      <c r="S19" s="94"/>
      <c r="T19" s="94"/>
      <c r="V19" s="18"/>
    </row>
    <row r="20" spans="1:22" ht="18.75" customHeight="1">
      <c r="A20" s="21" t="s">
        <v>56</v>
      </c>
      <c r="B20" s="35">
        <v>120</v>
      </c>
      <c r="C20" s="164">
        <v>0.63059900000000002</v>
      </c>
      <c r="D20" s="35"/>
      <c r="E20" s="35"/>
      <c r="F20" s="35">
        <v>55</v>
      </c>
      <c r="G20" s="164">
        <v>0.189</v>
      </c>
      <c r="H20" s="35">
        <v>60</v>
      </c>
      <c r="I20" s="164">
        <v>0.28999999999999998</v>
      </c>
      <c r="J20" s="35">
        <v>50</v>
      </c>
      <c r="K20" s="164">
        <v>0.19279099999999999</v>
      </c>
      <c r="L20" s="35">
        <v>35</v>
      </c>
      <c r="M20" s="164">
        <v>9.6810999999999994E-2</v>
      </c>
      <c r="N20" s="136"/>
      <c r="O20" s="305"/>
      <c r="P20" s="305"/>
      <c r="Q20" s="94"/>
      <c r="R20" s="94"/>
      <c r="S20" s="94"/>
      <c r="T20" s="94"/>
      <c r="V20" s="18"/>
    </row>
    <row r="21" spans="1:22" ht="18.75" customHeight="1">
      <c r="A21" s="21" t="s">
        <v>51</v>
      </c>
      <c r="B21" s="35">
        <v>35</v>
      </c>
      <c r="C21" s="164">
        <v>6.6284999999999997E-2</v>
      </c>
      <c r="D21" s="35"/>
      <c r="E21" s="35"/>
      <c r="F21" s="35">
        <v>15</v>
      </c>
      <c r="G21" s="164">
        <v>3.3000000000000002E-2</v>
      </c>
      <c r="H21" s="35">
        <v>65</v>
      </c>
      <c r="I21" s="164">
        <v>6.0999999999999999E-2</v>
      </c>
      <c r="J21" s="35">
        <v>15</v>
      </c>
      <c r="K21" s="164">
        <v>1.9199999999999998E-2</v>
      </c>
      <c r="L21" s="35">
        <v>25</v>
      </c>
      <c r="M21" s="164">
        <v>4.6646E-2</v>
      </c>
      <c r="N21" s="136"/>
      <c r="O21" s="305"/>
      <c r="P21" s="305"/>
      <c r="Q21" s="94"/>
      <c r="R21" s="94"/>
      <c r="S21" s="94"/>
      <c r="T21" s="94"/>
      <c r="V21" s="18"/>
    </row>
    <row r="22" spans="1:22" ht="18.75" customHeight="1">
      <c r="A22" s="7" t="s">
        <v>57</v>
      </c>
      <c r="B22" s="11">
        <v>15</v>
      </c>
      <c r="C22" s="166">
        <v>3.9286000000000001E-2</v>
      </c>
      <c r="D22" s="11"/>
      <c r="E22" s="11"/>
      <c r="F22" s="11">
        <v>5</v>
      </c>
      <c r="G22" s="166">
        <v>8.9999999999999993E-3</v>
      </c>
      <c r="H22" s="11">
        <v>10</v>
      </c>
      <c r="I22" s="166">
        <v>1.6E-2</v>
      </c>
      <c r="J22" s="11" t="s">
        <v>174</v>
      </c>
      <c r="K22" s="166" t="s">
        <v>174</v>
      </c>
      <c r="L22" s="35">
        <v>10</v>
      </c>
      <c r="M22" s="166">
        <v>3.6649000000000001E-2</v>
      </c>
      <c r="N22" s="136"/>
      <c r="O22" s="305"/>
      <c r="P22" s="305"/>
      <c r="Q22" s="94"/>
      <c r="R22" s="94"/>
      <c r="S22" s="94"/>
      <c r="T22" s="94"/>
      <c r="V22" s="18"/>
    </row>
    <row r="23" spans="1:22" ht="18.75" customHeight="1">
      <c r="A23" s="21" t="s">
        <v>48</v>
      </c>
      <c r="B23" s="35">
        <v>30</v>
      </c>
      <c r="C23" s="164">
        <v>0.21564</v>
      </c>
      <c r="D23" s="35"/>
      <c r="E23" s="35"/>
      <c r="F23" s="35" t="s">
        <v>174</v>
      </c>
      <c r="G23" s="164" t="s">
        <v>174</v>
      </c>
      <c r="H23" s="35" t="s">
        <v>19</v>
      </c>
      <c r="I23" s="164" t="s">
        <v>19</v>
      </c>
      <c r="J23" s="35">
        <v>5</v>
      </c>
      <c r="K23" s="164">
        <v>4.7523000000000003E-2</v>
      </c>
      <c r="L23" s="35">
        <v>5</v>
      </c>
      <c r="M23" s="164">
        <v>1.453E-2</v>
      </c>
      <c r="N23" s="136"/>
      <c r="O23" s="305"/>
      <c r="P23" s="305"/>
      <c r="Q23" s="94"/>
      <c r="R23" s="94"/>
      <c r="S23" s="94"/>
      <c r="T23" s="94"/>
      <c r="V23" s="18"/>
    </row>
    <row r="24" spans="1:22" ht="18.75" customHeight="1">
      <c r="A24" s="21" t="s">
        <v>50</v>
      </c>
      <c r="B24" s="35" t="s">
        <v>0</v>
      </c>
      <c r="C24" s="164">
        <v>2.1100000000000001E-4</v>
      </c>
      <c r="D24" s="35"/>
      <c r="E24" s="35"/>
      <c r="F24" s="35" t="s">
        <v>174</v>
      </c>
      <c r="G24" s="164" t="s">
        <v>174</v>
      </c>
      <c r="H24" s="35" t="s">
        <v>174</v>
      </c>
      <c r="I24" s="164" t="s">
        <v>174</v>
      </c>
      <c r="J24" s="35" t="s">
        <v>174</v>
      </c>
      <c r="K24" s="164" t="s">
        <v>174</v>
      </c>
      <c r="L24" s="35" t="s">
        <v>174</v>
      </c>
      <c r="M24" s="164" t="s">
        <v>174</v>
      </c>
      <c r="N24" s="223"/>
      <c r="O24" s="305"/>
      <c r="P24" s="305"/>
      <c r="Q24" s="94"/>
      <c r="R24" s="94"/>
      <c r="S24" s="94"/>
      <c r="T24" s="94"/>
      <c r="V24" s="18"/>
    </row>
    <row r="25" spans="1:22" ht="18.75" customHeight="1">
      <c r="A25" s="21" t="s">
        <v>53</v>
      </c>
      <c r="B25" s="35">
        <v>15</v>
      </c>
      <c r="C25" s="164">
        <v>4.3351000000000001E-2</v>
      </c>
      <c r="D25" s="35"/>
      <c r="E25" s="35"/>
      <c r="F25" s="35" t="s">
        <v>174</v>
      </c>
      <c r="G25" s="164" t="s">
        <v>174</v>
      </c>
      <c r="H25" s="35" t="s">
        <v>174</v>
      </c>
      <c r="I25" s="164" t="s">
        <v>174</v>
      </c>
      <c r="J25" s="35" t="s">
        <v>19</v>
      </c>
      <c r="K25" s="164" t="s">
        <v>19</v>
      </c>
      <c r="L25" s="35" t="s">
        <v>174</v>
      </c>
      <c r="M25" s="164" t="s">
        <v>174</v>
      </c>
      <c r="N25" s="223"/>
      <c r="O25" s="305"/>
      <c r="P25" s="305"/>
      <c r="Q25" s="94"/>
      <c r="R25" s="94"/>
      <c r="S25" s="94"/>
      <c r="T25" s="94"/>
      <c r="V25" s="18"/>
    </row>
    <row r="26" spans="1:22" ht="18.75" customHeight="1">
      <c r="A26" s="21" t="s">
        <v>33</v>
      </c>
      <c r="B26" s="35">
        <v>690</v>
      </c>
      <c r="C26" s="164">
        <v>1.7277550000000002</v>
      </c>
      <c r="D26" s="35"/>
      <c r="E26" s="35"/>
      <c r="F26" s="35">
        <v>650</v>
      </c>
      <c r="G26" s="164">
        <v>1.6759999999999999</v>
      </c>
      <c r="H26" s="35">
        <v>320</v>
      </c>
      <c r="I26" s="164">
        <v>0.70099999999999996</v>
      </c>
      <c r="J26" s="35">
        <v>425</v>
      </c>
      <c r="K26" s="164">
        <v>0.91396500000000003</v>
      </c>
      <c r="L26" s="35">
        <v>480</v>
      </c>
      <c r="M26" s="164">
        <v>1.100665</v>
      </c>
      <c r="N26" s="223"/>
      <c r="O26" s="305"/>
      <c r="P26" s="305"/>
      <c r="Q26" s="94"/>
      <c r="R26" s="94"/>
      <c r="S26" s="94"/>
      <c r="T26" s="94"/>
      <c r="V26" s="18"/>
    </row>
    <row r="27" spans="1:22" ht="18.75" customHeight="1">
      <c r="A27" s="24" t="s">
        <v>45</v>
      </c>
      <c r="B27" s="37">
        <v>60</v>
      </c>
      <c r="C27" s="167">
        <v>9.5883999999999997E-2</v>
      </c>
      <c r="D27" s="37"/>
      <c r="E27" s="37"/>
      <c r="F27" s="37">
        <v>10</v>
      </c>
      <c r="G27" s="167">
        <v>4.0000000000000001E-3</v>
      </c>
      <c r="H27" s="37">
        <v>5</v>
      </c>
      <c r="I27" s="167">
        <v>2E-3</v>
      </c>
      <c r="J27" s="37">
        <v>30</v>
      </c>
      <c r="K27" s="167">
        <v>1.1131E-2</v>
      </c>
      <c r="L27" s="37">
        <v>15</v>
      </c>
      <c r="M27" s="167">
        <v>4.9769999999999997E-3</v>
      </c>
      <c r="N27" s="223"/>
      <c r="O27" s="305"/>
      <c r="P27" s="305"/>
      <c r="Q27" s="94"/>
      <c r="R27" s="94"/>
      <c r="S27" s="94"/>
      <c r="T27" s="94"/>
      <c r="V27" s="18"/>
    </row>
    <row r="28" spans="1:22">
      <c r="A28" s="1" t="s">
        <v>257</v>
      </c>
      <c r="B28" s="136"/>
      <c r="C28" s="136"/>
      <c r="D28" s="136"/>
      <c r="E28" s="136"/>
      <c r="F28" s="136"/>
      <c r="G28" s="136"/>
      <c r="H28" s="136"/>
      <c r="I28" s="136"/>
      <c r="J28" s="136"/>
      <c r="K28" s="136"/>
      <c r="L28" s="136"/>
      <c r="M28" s="136"/>
    </row>
    <row r="29" spans="1:22">
      <c r="L29" s="18"/>
    </row>
    <row r="30" spans="1:22">
      <c r="A30" s="2"/>
    </row>
  </sheetData>
  <sortState ref="A11:M23">
    <sortCondition descending="1" ref="L11:L23"/>
  </sortState>
  <mergeCells count="8">
    <mergeCell ref="S6:T6"/>
    <mergeCell ref="B4:C4"/>
    <mergeCell ref="J4:K4"/>
    <mergeCell ref="F4:G4"/>
    <mergeCell ref="Q6:R6"/>
    <mergeCell ref="H4:I4"/>
    <mergeCell ref="O6:P6"/>
    <mergeCell ref="L4:M4"/>
  </mergeCells>
  <phoneticPr fontId="3" type="noConversion"/>
  <hyperlinks>
    <hyperlink ref="M1" location="Contents!A1" display="&gt;&gt; Contents"/>
  </hyperlinks>
  <pageMargins left="0.39370078740157483" right="0.39370078740157483" top="0.39370078740157483" bottom="0.39370078740157483" header="0" footer="0"/>
  <pageSetup paperSize="9" scale="72" fitToHeight="0" orientation="portrait" r:id="rId1"/>
  <headerFooter>
    <oddFooter>&amp;C&amp;"Calibri,Regular"&amp;KFF0000RESTRICTED STATISTICS Not for release until 25 October 2016</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tabColor rgb="FF002060"/>
    <pageSetUpPr autoPageBreaks="0" fitToPage="1"/>
  </sheetPr>
  <dimension ref="A1:O37"/>
  <sheetViews>
    <sheetView showGridLines="0" zoomScaleNormal="100" workbookViewId="0"/>
  </sheetViews>
  <sheetFormatPr defaultColWidth="10.7109375" defaultRowHeight="15.75"/>
  <cols>
    <col min="1" max="1" width="21.42578125" style="1" customWidth="1"/>
    <col min="2" max="5" width="10.7109375" style="1"/>
    <col min="6" max="6" width="10.7109375" style="1" customWidth="1"/>
    <col min="7" max="16384" width="10.7109375" style="1"/>
  </cols>
  <sheetData>
    <row r="1" spans="1:15" ht="23.25">
      <c r="A1" s="138" t="str">
        <f>Contents!A1</f>
        <v>Higher Education Student Support in Scotland 2017-18</v>
      </c>
      <c r="B1" s="139"/>
      <c r="C1" s="139"/>
      <c r="D1" s="139"/>
      <c r="E1" s="139"/>
      <c r="F1" s="139"/>
      <c r="G1" s="139"/>
      <c r="H1" s="139"/>
      <c r="I1" s="139"/>
      <c r="J1" s="140"/>
      <c r="K1" s="140" t="s">
        <v>70</v>
      </c>
    </row>
    <row r="2" spans="1:15" ht="18.75">
      <c r="A2" s="60" t="str">
        <f ca="1">CONCATENATE(REPLACE(CELL("Filename",A2),1,FIND("]",CELL("filename",A2)),""),": Full-time students type of support by SIMD quintile")</f>
        <v>Table A13: Full-time students type of support by SIMD quintile</v>
      </c>
      <c r="B2" s="33"/>
      <c r="C2" s="33"/>
      <c r="D2" s="33"/>
      <c r="E2" s="33"/>
      <c r="F2" s="33"/>
      <c r="G2" s="33"/>
      <c r="H2" s="33"/>
      <c r="I2" s="33"/>
      <c r="J2" s="59"/>
      <c r="K2" s="59"/>
    </row>
    <row r="3" spans="1:15">
      <c r="A3" s="172"/>
    </row>
    <row r="4" spans="1:15" ht="22.5" customHeight="1">
      <c r="A4" s="28"/>
      <c r="B4" s="283" t="s">
        <v>238</v>
      </c>
      <c r="C4" s="284"/>
      <c r="D4" s="284"/>
      <c r="E4" s="284"/>
      <c r="F4" s="284" t="s">
        <v>239</v>
      </c>
      <c r="G4" s="86"/>
      <c r="M4" s="93"/>
      <c r="N4" s="330"/>
      <c r="O4" s="330"/>
    </row>
    <row r="5" spans="1:15" ht="22.5" customHeight="1">
      <c r="A5" s="30"/>
      <c r="B5" s="285">
        <v>1</v>
      </c>
      <c r="C5" s="285">
        <v>2</v>
      </c>
      <c r="D5" s="285">
        <v>3</v>
      </c>
      <c r="E5" s="285">
        <v>4</v>
      </c>
      <c r="F5" s="285">
        <v>5</v>
      </c>
      <c r="G5" s="286" t="s">
        <v>67</v>
      </c>
      <c r="H5" s="91"/>
      <c r="I5" s="91"/>
      <c r="J5" s="91"/>
      <c r="K5" s="91"/>
      <c r="L5" s="91"/>
      <c r="M5" s="93"/>
      <c r="N5" s="330"/>
      <c r="O5" s="330"/>
    </row>
    <row r="6" spans="1:15" ht="18.75" customHeight="1">
      <c r="A6" s="14" t="s">
        <v>166</v>
      </c>
      <c r="B6" s="296">
        <v>0.16001035426373789</v>
      </c>
      <c r="C6" s="296">
        <v>0.16400414170549515</v>
      </c>
      <c r="D6" s="296">
        <v>0.18619184971525773</v>
      </c>
      <c r="E6" s="296">
        <v>0.21780933362916943</v>
      </c>
      <c r="F6" s="296">
        <v>0.27198432068633976</v>
      </c>
      <c r="G6" s="287"/>
      <c r="M6" s="94"/>
      <c r="N6" s="95"/>
      <c r="O6" s="96"/>
    </row>
    <row r="7" spans="1:15" ht="18.75" customHeight="1">
      <c r="A7" s="6" t="s">
        <v>77</v>
      </c>
      <c r="B7" s="15">
        <v>21635</v>
      </c>
      <c r="C7" s="15">
        <v>22175</v>
      </c>
      <c r="D7" s="15">
        <v>25175</v>
      </c>
      <c r="E7" s="15">
        <v>29450</v>
      </c>
      <c r="F7" s="15">
        <v>36775</v>
      </c>
      <c r="G7" s="289">
        <v>135210</v>
      </c>
      <c r="H7" s="136"/>
      <c r="I7" s="136"/>
      <c r="J7" s="136"/>
      <c r="K7" s="136"/>
      <c r="L7" s="136"/>
      <c r="M7" s="94"/>
      <c r="N7" s="95"/>
      <c r="O7" s="96"/>
    </row>
    <row r="8" spans="1:15" ht="18.75" customHeight="1">
      <c r="A8" s="6" t="s">
        <v>130</v>
      </c>
      <c r="B8" s="168">
        <v>153.26499799999999</v>
      </c>
      <c r="C8" s="168">
        <v>147.708145</v>
      </c>
      <c r="D8" s="168">
        <v>160.21188599999999</v>
      </c>
      <c r="E8" s="168">
        <v>177.58117300000001</v>
      </c>
      <c r="F8" s="168">
        <v>212.18414100000001</v>
      </c>
      <c r="G8" s="290">
        <v>850.95034299999998</v>
      </c>
      <c r="H8" s="136"/>
      <c r="I8" s="136"/>
      <c r="J8" s="136"/>
      <c r="K8" s="136"/>
      <c r="L8" s="136"/>
      <c r="M8" s="94"/>
      <c r="N8" s="95"/>
      <c r="O8" s="96"/>
    </row>
    <row r="9" spans="1:15" ht="18.75" customHeight="1">
      <c r="A9" s="16" t="s">
        <v>46</v>
      </c>
      <c r="B9" s="38">
        <v>7080</v>
      </c>
      <c r="C9" s="38">
        <v>6660</v>
      </c>
      <c r="D9" s="38">
        <v>6360</v>
      </c>
      <c r="E9" s="38">
        <v>6030</v>
      </c>
      <c r="F9" s="38">
        <v>5770</v>
      </c>
      <c r="G9" s="63">
        <v>6290</v>
      </c>
      <c r="H9" s="136"/>
      <c r="I9" s="136"/>
      <c r="J9" s="136"/>
      <c r="K9" s="136"/>
      <c r="L9" s="136"/>
      <c r="M9" s="94"/>
      <c r="N9" s="95"/>
      <c r="O9" s="96"/>
    </row>
    <row r="10" spans="1:15" ht="18.75" customHeight="1">
      <c r="B10" s="207"/>
      <c r="C10" s="207"/>
      <c r="D10" s="207"/>
      <c r="E10" s="207"/>
      <c r="F10" s="207"/>
      <c r="G10" s="288"/>
      <c r="H10" s="136"/>
      <c r="I10" s="136"/>
      <c r="J10" s="136"/>
      <c r="K10" s="136"/>
      <c r="L10" s="136"/>
      <c r="M10" s="94"/>
      <c r="N10" s="95"/>
      <c r="O10" s="96"/>
    </row>
    <row r="11" spans="1:15" ht="18.75" customHeight="1">
      <c r="A11" s="2" t="s">
        <v>237</v>
      </c>
      <c r="B11" s="19"/>
      <c r="C11" s="19"/>
      <c r="D11" s="19"/>
      <c r="E11" s="19"/>
      <c r="F11" s="19"/>
      <c r="G11" s="229"/>
    </row>
    <row r="12" spans="1:15" ht="18.75" customHeight="1">
      <c r="A12" s="21" t="s">
        <v>77</v>
      </c>
      <c r="B12" s="35">
        <v>14465</v>
      </c>
      <c r="C12" s="35">
        <v>11685</v>
      </c>
      <c r="D12" s="35">
        <v>10115</v>
      </c>
      <c r="E12" s="35">
        <v>8900</v>
      </c>
      <c r="F12" s="35">
        <v>8045</v>
      </c>
      <c r="G12" s="179">
        <v>53210</v>
      </c>
      <c r="H12" s="208"/>
      <c r="I12" s="208"/>
      <c r="J12" s="208"/>
      <c r="K12" s="208"/>
      <c r="L12" s="208"/>
      <c r="M12" s="94"/>
      <c r="N12" s="95"/>
      <c r="O12" s="96"/>
    </row>
    <row r="13" spans="1:15" ht="18.75" customHeight="1">
      <c r="A13" s="21" t="s">
        <v>130</v>
      </c>
      <c r="B13" s="160">
        <v>21.361823999999999</v>
      </c>
      <c r="C13" s="160">
        <v>16.695882999999998</v>
      </c>
      <c r="D13" s="160">
        <v>14.203858</v>
      </c>
      <c r="E13" s="160">
        <v>12.384264</v>
      </c>
      <c r="F13" s="160">
        <v>11.053534000000001</v>
      </c>
      <c r="G13" s="180">
        <v>75.699363000000005</v>
      </c>
      <c r="H13" s="136"/>
      <c r="I13" s="136"/>
      <c r="J13" s="136"/>
      <c r="K13" s="136"/>
      <c r="L13" s="136"/>
      <c r="M13" s="94"/>
      <c r="N13" s="95"/>
      <c r="O13" s="96"/>
    </row>
    <row r="14" spans="1:15" ht="18.75" customHeight="1">
      <c r="A14" s="21" t="s">
        <v>46</v>
      </c>
      <c r="B14" s="35">
        <v>1480</v>
      </c>
      <c r="C14" s="35">
        <v>1430</v>
      </c>
      <c r="D14" s="35">
        <v>1400</v>
      </c>
      <c r="E14" s="35">
        <v>1390</v>
      </c>
      <c r="F14" s="35">
        <v>1370</v>
      </c>
      <c r="G14" s="179">
        <v>1420</v>
      </c>
      <c r="H14" s="136"/>
      <c r="I14" s="136"/>
      <c r="J14" s="136"/>
      <c r="K14" s="136"/>
      <c r="L14" s="136"/>
      <c r="M14" s="94"/>
      <c r="N14" s="95"/>
      <c r="O14" s="96"/>
    </row>
    <row r="15" spans="1:15" ht="18.75" customHeight="1">
      <c r="B15" s="35"/>
      <c r="C15" s="35"/>
      <c r="D15" s="35"/>
      <c r="E15" s="35"/>
      <c r="F15" s="35"/>
      <c r="G15" s="179"/>
      <c r="M15" s="94"/>
      <c r="N15" s="95"/>
      <c r="O15" s="96"/>
    </row>
    <row r="16" spans="1:15" ht="18.75" customHeight="1">
      <c r="A16" s="2" t="s">
        <v>41</v>
      </c>
      <c r="B16" s="19"/>
      <c r="C16" s="19"/>
      <c r="D16" s="19"/>
      <c r="E16" s="19"/>
      <c r="F16" s="19"/>
      <c r="G16" s="229"/>
      <c r="M16" s="94"/>
      <c r="N16" s="95"/>
      <c r="O16" s="96"/>
    </row>
    <row r="17" spans="1:15" ht="18.75" customHeight="1">
      <c r="A17" s="21" t="s">
        <v>77</v>
      </c>
      <c r="B17" s="35">
        <v>19820</v>
      </c>
      <c r="C17" s="35">
        <v>20620</v>
      </c>
      <c r="D17" s="35">
        <v>23810</v>
      </c>
      <c r="E17" s="35">
        <v>28050</v>
      </c>
      <c r="F17" s="35">
        <v>35295</v>
      </c>
      <c r="G17" s="179">
        <v>127595</v>
      </c>
      <c r="H17" s="136"/>
      <c r="I17" s="136"/>
      <c r="J17" s="136"/>
      <c r="K17" s="136"/>
      <c r="L17" s="136"/>
      <c r="M17" s="94"/>
      <c r="N17" s="95"/>
      <c r="O17" s="96"/>
    </row>
    <row r="18" spans="1:15" ht="18.75" customHeight="1">
      <c r="A18" s="21" t="s">
        <v>130</v>
      </c>
      <c r="B18" s="160">
        <v>35.084743000000003</v>
      </c>
      <c r="C18" s="160">
        <v>37.900759999999998</v>
      </c>
      <c r="D18" s="160">
        <v>46.321055000000001</v>
      </c>
      <c r="E18" s="160">
        <v>56.526145</v>
      </c>
      <c r="F18" s="160">
        <v>74.472977999999998</v>
      </c>
      <c r="G18" s="180">
        <v>250.30568099999999</v>
      </c>
      <c r="H18" s="136"/>
      <c r="I18" s="136"/>
      <c r="J18" s="136"/>
      <c r="K18" s="136"/>
      <c r="L18" s="136"/>
      <c r="M18" s="94"/>
      <c r="N18" s="95"/>
      <c r="O18" s="96"/>
    </row>
    <row r="19" spans="1:15" ht="18.75" customHeight="1">
      <c r="A19" s="21" t="s">
        <v>46</v>
      </c>
      <c r="B19" s="35">
        <v>1770</v>
      </c>
      <c r="C19" s="35">
        <v>1840</v>
      </c>
      <c r="D19" s="35">
        <v>1950</v>
      </c>
      <c r="E19" s="35">
        <v>2020</v>
      </c>
      <c r="F19" s="35">
        <v>2110</v>
      </c>
      <c r="G19" s="179">
        <v>1960</v>
      </c>
      <c r="H19" s="136"/>
      <c r="I19" s="136"/>
      <c r="J19" s="136"/>
      <c r="K19" s="136"/>
      <c r="L19" s="136"/>
      <c r="M19" s="94"/>
      <c r="N19" s="95"/>
      <c r="O19" s="96"/>
    </row>
    <row r="20" spans="1:15" ht="18.75" customHeight="1">
      <c r="B20" s="35"/>
      <c r="C20" s="35"/>
      <c r="D20" s="35"/>
      <c r="E20" s="35"/>
      <c r="F20" s="35"/>
      <c r="G20" s="179"/>
    </row>
    <row r="21" spans="1:15" ht="18.75" customHeight="1">
      <c r="A21" s="2" t="s">
        <v>42</v>
      </c>
      <c r="B21" s="19"/>
      <c r="C21" s="19"/>
      <c r="D21" s="19"/>
      <c r="E21" s="19"/>
      <c r="F21" s="19"/>
      <c r="G21" s="229"/>
    </row>
    <row r="22" spans="1:15" ht="18.75" customHeight="1">
      <c r="A22" s="21" t="s">
        <v>77</v>
      </c>
      <c r="B22" s="35">
        <v>16750</v>
      </c>
      <c r="C22" s="35">
        <v>16835</v>
      </c>
      <c r="D22" s="35">
        <v>18780</v>
      </c>
      <c r="E22" s="35">
        <v>21250</v>
      </c>
      <c r="F22" s="35">
        <v>25665</v>
      </c>
      <c r="G22" s="179">
        <v>99280</v>
      </c>
      <c r="H22" s="136"/>
      <c r="I22" s="136"/>
      <c r="J22" s="136"/>
      <c r="K22" s="136"/>
      <c r="L22" s="136"/>
      <c r="M22" s="94"/>
      <c r="N22" s="95"/>
      <c r="O22" s="96"/>
    </row>
    <row r="23" spans="1:15" ht="18.75" customHeight="1">
      <c r="A23" s="21" t="s">
        <v>130</v>
      </c>
      <c r="B23" s="160">
        <v>96.818431000000004</v>
      </c>
      <c r="C23" s="160">
        <v>93.117602000000005</v>
      </c>
      <c r="D23" s="160">
        <v>99.686972999999995</v>
      </c>
      <c r="E23" s="160">
        <v>108.67076400000001</v>
      </c>
      <c r="F23" s="160">
        <v>126.65850399999999</v>
      </c>
      <c r="G23" s="180">
        <v>524.95227399999999</v>
      </c>
      <c r="H23" s="136"/>
      <c r="I23" s="136"/>
      <c r="J23" s="136"/>
      <c r="K23" s="136"/>
      <c r="L23" s="136"/>
      <c r="M23" s="94"/>
      <c r="N23" s="95"/>
      <c r="O23" s="96"/>
    </row>
    <row r="24" spans="1:15" ht="18.75" customHeight="1">
      <c r="A24" s="24" t="s">
        <v>46</v>
      </c>
      <c r="B24" s="37">
        <v>5780</v>
      </c>
      <c r="C24" s="37">
        <v>5530</v>
      </c>
      <c r="D24" s="37">
        <v>5310</v>
      </c>
      <c r="E24" s="37">
        <v>5110</v>
      </c>
      <c r="F24" s="37">
        <v>4940</v>
      </c>
      <c r="G24" s="181">
        <v>5290</v>
      </c>
      <c r="H24" s="136"/>
      <c r="I24" s="136"/>
      <c r="J24" s="136"/>
      <c r="K24" s="136"/>
      <c r="L24" s="136"/>
      <c r="M24" s="94"/>
      <c r="N24" s="95"/>
      <c r="O24" s="96"/>
    </row>
    <row r="25" spans="1:15">
      <c r="B25" s="136"/>
      <c r="C25" s="136"/>
      <c r="D25" s="136"/>
      <c r="E25" s="136"/>
      <c r="F25" s="136"/>
      <c r="G25" s="136"/>
      <c r="H25" s="136"/>
      <c r="I25" s="136"/>
      <c r="J25" s="136"/>
      <c r="K25" s="208"/>
    </row>
    <row r="26" spans="1:15" s="9" customFormat="1"/>
    <row r="27" spans="1:15" s="9" customFormat="1">
      <c r="A27" s="69" t="s">
        <v>44</v>
      </c>
    </row>
    <row r="28" spans="1:15" s="9" customFormat="1">
      <c r="B28" s="22"/>
      <c r="C28" s="22"/>
      <c r="D28" s="22"/>
      <c r="E28" s="22"/>
      <c r="F28" s="22"/>
      <c r="G28" s="22"/>
      <c r="H28" s="22"/>
    </row>
    <row r="29" spans="1:15">
      <c r="A29" s="5" t="s">
        <v>288</v>
      </c>
    </row>
    <row r="30" spans="1:15">
      <c r="A30" s="5"/>
    </row>
    <row r="31" spans="1:15">
      <c r="A31" s="1" t="s">
        <v>240</v>
      </c>
    </row>
    <row r="32" spans="1:15">
      <c r="A32" s="1" t="s">
        <v>242</v>
      </c>
    </row>
    <row r="33" spans="1:1">
      <c r="A33" s="1" t="s">
        <v>241</v>
      </c>
    </row>
    <row r="35" spans="1:1">
      <c r="A35" s="1" t="s">
        <v>243</v>
      </c>
    </row>
    <row r="36" spans="1:1">
      <c r="A36" s="1" t="s">
        <v>289</v>
      </c>
    </row>
    <row r="37" spans="1:1">
      <c r="A37" s="1" t="s">
        <v>244</v>
      </c>
    </row>
  </sheetData>
  <mergeCells count="2">
    <mergeCell ref="N5:O5"/>
    <mergeCell ref="N4:O4"/>
  </mergeCells>
  <hyperlinks>
    <hyperlink ref="K1" location="Contents!A1" display="&gt;&gt; Contents"/>
  </hyperlinks>
  <pageMargins left="0.39370078740157483" right="0.39370078740157483" top="0.39370078740157483" bottom="0.39370078740157483" header="0" footer="0"/>
  <pageSetup paperSize="9" fitToHeight="0" orientation="portrait" r:id="rId1"/>
  <headerFooter>
    <oddFooter>&amp;C&amp;"Calibri,Regular"&amp;KFF0000RESTRICTED STATISTICS Not for release until 25 October 2016</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646464"/>
    <pageSetUpPr fitToPage="1"/>
  </sheetPr>
  <dimension ref="A1:P41"/>
  <sheetViews>
    <sheetView showGridLines="0" workbookViewId="0"/>
  </sheetViews>
  <sheetFormatPr defaultColWidth="10.7109375" defaultRowHeight="15.75"/>
  <cols>
    <col min="1" max="1" width="21.42578125" style="1" customWidth="1"/>
    <col min="2" max="3" width="10.7109375" style="1" hidden="1" customWidth="1"/>
    <col min="4" max="4" width="0" style="1" hidden="1" customWidth="1"/>
    <col min="5" max="16384" width="10.7109375" style="1"/>
  </cols>
  <sheetData>
    <row r="1" spans="1:13" ht="23.25">
      <c r="A1" s="138" t="str">
        <f>Contents!A1</f>
        <v>Higher Education Student Support in Scotland 2017-18</v>
      </c>
      <c r="B1" s="139"/>
      <c r="C1" s="139"/>
      <c r="D1" s="139"/>
      <c r="E1" s="139"/>
      <c r="F1" s="139"/>
      <c r="G1" s="139"/>
      <c r="H1" s="139"/>
      <c r="I1" s="139"/>
      <c r="J1" s="139"/>
      <c r="K1" s="140"/>
      <c r="L1" s="140"/>
      <c r="M1" s="140" t="s">
        <v>70</v>
      </c>
    </row>
    <row r="2" spans="1:13" ht="18.75">
      <c r="A2" s="60" t="str">
        <f ca="1">CONCATENATE(REPLACE(CELL("Filename",A2),1,FIND("]",CELL("filename",A2)),""),": Number of applications by September of each year for full-time student support and domicile of student")</f>
        <v>Figure A1: Number of applications by September of each year for full-time student support and domicile of student</v>
      </c>
      <c r="B2" s="33"/>
      <c r="C2" s="33"/>
      <c r="D2" s="33"/>
      <c r="E2" s="33"/>
      <c r="F2" s="33"/>
      <c r="G2" s="33"/>
      <c r="H2" s="33"/>
      <c r="I2" s="33"/>
      <c r="J2" s="33"/>
      <c r="K2" s="59"/>
      <c r="L2" s="59"/>
      <c r="M2" s="59"/>
    </row>
    <row r="3" spans="1:13">
      <c r="A3" s="172"/>
    </row>
    <row r="27" spans="1:16" hidden="1">
      <c r="A27" s="2" t="s">
        <v>74</v>
      </c>
    </row>
    <row r="28" spans="1:16" s="52" customFormat="1" hidden="1"/>
    <row r="29" spans="1:16" hidden="1">
      <c r="A29" s="4"/>
      <c r="B29" s="13" t="s">
        <v>24</v>
      </c>
      <c r="C29" s="13" t="s">
        <v>25</v>
      </c>
      <c r="D29" s="13" t="s">
        <v>27</v>
      </c>
      <c r="E29" s="13" t="s">
        <v>28</v>
      </c>
      <c r="F29" s="13" t="s">
        <v>15</v>
      </c>
      <c r="G29" s="13" t="s">
        <v>59</v>
      </c>
      <c r="H29" s="13" t="s">
        <v>1</v>
      </c>
      <c r="I29" s="13" t="s">
        <v>61</v>
      </c>
      <c r="J29" s="13" t="s">
        <v>169</v>
      </c>
      <c r="K29" s="13" t="s">
        <v>233</v>
      </c>
      <c r="L29" s="13" t="s">
        <v>246</v>
      </c>
      <c r="M29" s="13" t="s">
        <v>253</v>
      </c>
      <c r="N29" s="13" t="s">
        <v>272</v>
      </c>
    </row>
    <row r="30" spans="1:16" hidden="1">
      <c r="A30" s="14" t="s">
        <v>81</v>
      </c>
      <c r="B30" s="33"/>
      <c r="C30" s="33"/>
      <c r="D30" s="33"/>
      <c r="E30" s="33"/>
      <c r="F30" s="33"/>
      <c r="G30" s="33"/>
      <c r="H30" s="33"/>
      <c r="I30" s="33"/>
      <c r="J30" s="266"/>
      <c r="K30" s="266"/>
      <c r="L30" s="266"/>
      <c r="M30" s="266"/>
      <c r="N30" s="266"/>
    </row>
    <row r="31" spans="1:16" hidden="1">
      <c r="A31" s="16" t="s">
        <v>29</v>
      </c>
      <c r="B31" s="38">
        <v>121235</v>
      </c>
      <c r="C31" s="38">
        <v>121990</v>
      </c>
      <c r="D31" s="38">
        <v>124845</v>
      </c>
      <c r="E31" s="38">
        <v>130680</v>
      </c>
      <c r="F31" s="38">
        <v>133175</v>
      </c>
      <c r="G31" s="38">
        <v>133890</v>
      </c>
      <c r="H31" s="38">
        <v>135375</v>
      </c>
      <c r="I31" s="38">
        <v>140985</v>
      </c>
      <c r="J31" s="38">
        <v>143925</v>
      </c>
      <c r="K31" s="38">
        <v>145795</v>
      </c>
      <c r="L31" s="38">
        <v>147060</v>
      </c>
      <c r="M31" s="38">
        <f>MROUND(151284,5)</f>
        <v>151285</v>
      </c>
      <c r="N31" s="38">
        <f>MROUND(154177,5)</f>
        <v>154175</v>
      </c>
      <c r="O31" s="136"/>
      <c r="P31" s="136">
        <f>(M31-L31)/L31</f>
        <v>2.8729770161838704E-2</v>
      </c>
    </row>
    <row r="32" spans="1:16" hidden="1">
      <c r="K32" s="9"/>
      <c r="L32" s="9"/>
      <c r="M32" s="9"/>
      <c r="N32" s="9"/>
    </row>
    <row r="33" spans="1:14" hidden="1">
      <c r="A33" s="2" t="s">
        <v>82</v>
      </c>
      <c r="K33" s="9"/>
      <c r="L33" s="9"/>
      <c r="M33" s="9"/>
      <c r="N33" s="9"/>
    </row>
    <row r="34" spans="1:14" hidden="1">
      <c r="A34" s="21" t="s">
        <v>75</v>
      </c>
      <c r="B34" s="18">
        <v>114850</v>
      </c>
      <c r="C34" s="18">
        <v>114610</v>
      </c>
      <c r="D34" s="18">
        <v>113825</v>
      </c>
      <c r="E34" s="18">
        <v>115300</v>
      </c>
      <c r="F34" s="18">
        <v>119660</v>
      </c>
      <c r="G34" s="18">
        <v>121855</v>
      </c>
      <c r="H34" s="18">
        <v>122020</v>
      </c>
      <c r="I34" s="18">
        <v>122365</v>
      </c>
      <c r="J34" s="18">
        <v>126575</v>
      </c>
      <c r="K34" s="22">
        <v>128675</v>
      </c>
      <c r="L34" s="22">
        <v>130195</v>
      </c>
      <c r="M34" s="22">
        <f>MROUND(135068,5)</f>
        <v>135070</v>
      </c>
      <c r="N34" s="22">
        <f>MROUND(137539,5)</f>
        <v>137540</v>
      </c>
    </row>
    <row r="35" spans="1:14" hidden="1">
      <c r="A35" s="24" t="s">
        <v>76</v>
      </c>
      <c r="B35" s="25">
        <v>6385</v>
      </c>
      <c r="C35" s="25">
        <v>7385</v>
      </c>
      <c r="D35" s="25">
        <v>8680</v>
      </c>
      <c r="E35" s="25">
        <v>9545</v>
      </c>
      <c r="F35" s="25">
        <v>11020</v>
      </c>
      <c r="G35" s="25">
        <v>11320</v>
      </c>
      <c r="H35" s="25">
        <v>11870</v>
      </c>
      <c r="I35" s="25">
        <v>13010</v>
      </c>
      <c r="J35" s="25">
        <v>14410</v>
      </c>
      <c r="K35" s="25">
        <v>15250</v>
      </c>
      <c r="L35" s="25">
        <v>15600</v>
      </c>
      <c r="M35" s="25">
        <f>MROUND(16216,5)</f>
        <v>16215</v>
      </c>
      <c r="N35" s="25">
        <f>MROUND(16638,5)</f>
        <v>16640</v>
      </c>
    </row>
    <row r="36" spans="1:14" hidden="1"/>
    <row r="37" spans="1:14" hidden="1"/>
    <row r="38" spans="1:14">
      <c r="A38" s="2" t="s">
        <v>84</v>
      </c>
    </row>
    <row r="40" spans="1:14">
      <c r="A40" s="56" t="str">
        <f ca="1">'Table A2'!A2</f>
        <v>Table A2: Full-time students domicile of student</v>
      </c>
    </row>
    <row r="41" spans="1:14">
      <c r="A41" s="61" t="str">
        <f ca="1">HYPERLINK(CONCATENATE("#'",LEFT(A40,SEARCH(":",A40)-1),"'!A3"),"&gt;&gt;")</f>
        <v>&gt;&gt;</v>
      </c>
    </row>
  </sheetData>
  <hyperlinks>
    <hyperlink ref="M1" location="Contents!A1" display="&gt;&gt; Contents"/>
  </hyperlinks>
  <pageMargins left="0.39370078740157483" right="0.39370078740157483" top="0.39370078740157483" bottom="0.39370078740157483" header="0" footer="0"/>
  <pageSetup paperSize="9" scale="75" fitToHeight="0" orientation="portrait" r:id="rId1"/>
  <headerFooter>
    <oddFooter>&amp;C&amp;"Calibri,Regular"&amp;KFF0000RESTRICTED STATISTICS Not for release until 25 October 2016</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646464"/>
    <pageSetUpPr fitToPage="1"/>
  </sheetPr>
  <dimension ref="A1:J13"/>
  <sheetViews>
    <sheetView showGridLines="0" workbookViewId="0"/>
  </sheetViews>
  <sheetFormatPr defaultColWidth="10.7109375" defaultRowHeight="15.75"/>
  <cols>
    <col min="1" max="1" width="44.5703125" style="1" customWidth="1"/>
    <col min="2" max="9" width="10.7109375" style="1"/>
    <col min="10" max="10" width="10.7109375" style="1" customWidth="1"/>
    <col min="11" max="16384" width="10.7109375" style="1"/>
  </cols>
  <sheetData>
    <row r="1" spans="1:10" ht="23.25">
      <c r="A1" s="138" t="str">
        <f>Contents!A1</f>
        <v>Higher Education Student Support in Scotland 2017-18</v>
      </c>
      <c r="B1" s="139"/>
      <c r="C1" s="139"/>
      <c r="D1" s="139"/>
      <c r="E1" s="139"/>
      <c r="F1" s="139"/>
      <c r="G1" s="139"/>
      <c r="H1" s="139"/>
      <c r="I1" s="140" t="s">
        <v>70</v>
      </c>
    </row>
    <row r="2" spans="1:10" ht="18.75">
      <c r="A2" s="60" t="str">
        <f ca="1">CONCATENATE(REPLACE(CELL("Filename",A2),1,FIND("]",CELL("filename",A2)),""),": Number of applications for full-time student support and proportion of students receiving support by end of session")</f>
        <v>Table A14: Number of applications for full-time student support and proportion of students receiving support by end of session</v>
      </c>
      <c r="B2" s="33"/>
      <c r="C2" s="33"/>
      <c r="D2" s="33"/>
      <c r="E2" s="33"/>
      <c r="F2" s="33"/>
      <c r="G2" s="33"/>
      <c r="H2" s="33"/>
      <c r="I2" s="59"/>
    </row>
    <row r="3" spans="1:10">
      <c r="A3" s="172"/>
      <c r="C3" s="2"/>
      <c r="D3" s="2"/>
    </row>
    <row r="4" spans="1:10" ht="22.5" customHeight="1">
      <c r="A4" s="4"/>
      <c r="B4" s="13" t="s">
        <v>1</v>
      </c>
      <c r="C4" s="13" t="s">
        <v>61</v>
      </c>
      <c r="D4" s="13" t="s">
        <v>169</v>
      </c>
      <c r="E4" s="13" t="s">
        <v>233</v>
      </c>
      <c r="F4" s="13" t="s">
        <v>246</v>
      </c>
      <c r="G4" s="13" t="s">
        <v>253</v>
      </c>
      <c r="I4" s="298"/>
      <c r="J4" s="299"/>
    </row>
    <row r="5" spans="1:10" ht="18.75" customHeight="1">
      <c r="A5" s="50" t="s">
        <v>201</v>
      </c>
      <c r="B5" s="54"/>
      <c r="C5" s="54"/>
      <c r="D5" s="54"/>
      <c r="E5" s="54"/>
      <c r="F5" s="54"/>
      <c r="G5" s="54"/>
      <c r="I5" s="298"/>
      <c r="J5" s="298"/>
    </row>
    <row r="6" spans="1:10" ht="18.75" customHeight="1">
      <c r="A6" s="21" t="s">
        <v>203</v>
      </c>
      <c r="B6" s="54">
        <v>135585</v>
      </c>
      <c r="C6" s="54">
        <v>140985</v>
      </c>
      <c r="D6" s="54">
        <v>143925</v>
      </c>
      <c r="E6" s="54">
        <v>145795</v>
      </c>
      <c r="F6" s="54">
        <v>146895</v>
      </c>
      <c r="G6" s="54">
        <v>151280</v>
      </c>
      <c r="I6" s="298"/>
      <c r="J6" s="300"/>
    </row>
    <row r="7" spans="1:10" ht="18.75" customHeight="1">
      <c r="A7" s="21" t="s">
        <v>202</v>
      </c>
      <c r="B7" s="54">
        <v>150215</v>
      </c>
      <c r="C7" s="54">
        <v>151460</v>
      </c>
      <c r="D7" s="54">
        <v>154195</v>
      </c>
      <c r="E7" s="54">
        <v>156825</v>
      </c>
      <c r="F7" s="54">
        <v>161315</v>
      </c>
      <c r="G7" s="54">
        <v>164500</v>
      </c>
      <c r="I7" s="298"/>
      <c r="J7" s="300"/>
    </row>
    <row r="8" spans="1:10" ht="18.75" customHeight="1">
      <c r="A8" s="203" t="s">
        <v>183</v>
      </c>
      <c r="B8" s="204">
        <v>0.90260626435442537</v>
      </c>
      <c r="C8" s="204">
        <v>0.93083982569655355</v>
      </c>
      <c r="D8" s="204">
        <v>0.93339602451441361</v>
      </c>
      <c r="E8" s="204">
        <v>0.92966682608002549</v>
      </c>
      <c r="F8" s="204">
        <v>0.91060967671946191</v>
      </c>
      <c r="G8" s="204">
        <v>0.91963525835866267</v>
      </c>
      <c r="I8" s="298"/>
      <c r="J8" s="300"/>
    </row>
    <row r="9" spans="1:10" ht="18.75" customHeight="1">
      <c r="A9" s="71"/>
      <c r="B9" s="54"/>
      <c r="C9" s="54"/>
      <c r="D9" s="54"/>
      <c r="E9" s="54"/>
      <c r="F9" s="54"/>
      <c r="G9" s="54"/>
      <c r="I9" s="298"/>
      <c r="J9" s="300"/>
    </row>
    <row r="10" spans="1:10" ht="18.75" customHeight="1">
      <c r="A10" s="50" t="s">
        <v>204</v>
      </c>
      <c r="B10" s="54"/>
      <c r="C10" s="54"/>
      <c r="D10" s="54"/>
      <c r="E10" s="54"/>
      <c r="F10" s="54"/>
      <c r="G10" s="54"/>
      <c r="I10" s="298"/>
      <c r="J10" s="300"/>
    </row>
    <row r="11" spans="1:10" ht="18.75" customHeight="1">
      <c r="A11" s="21" t="s">
        <v>202</v>
      </c>
      <c r="B11" s="54">
        <v>135375</v>
      </c>
      <c r="C11" s="54">
        <v>137270</v>
      </c>
      <c r="D11" s="54">
        <v>139370</v>
      </c>
      <c r="E11" s="54">
        <v>141000</v>
      </c>
      <c r="F11" s="54">
        <v>143110</v>
      </c>
      <c r="G11" s="54">
        <v>147920</v>
      </c>
      <c r="I11" s="298"/>
      <c r="J11" s="300"/>
    </row>
    <row r="12" spans="1:10" ht="18.75" customHeight="1">
      <c r="A12" s="205" t="s">
        <v>205</v>
      </c>
      <c r="B12" s="206">
        <v>0.90120826814898647</v>
      </c>
      <c r="C12" s="206">
        <v>0.90631189753070118</v>
      </c>
      <c r="D12" s="206">
        <v>0.90385550763643441</v>
      </c>
      <c r="E12" s="206">
        <v>0.89909134385461498</v>
      </c>
      <c r="F12" s="206">
        <v>0.88714626662120699</v>
      </c>
      <c r="G12" s="206">
        <v>0.89920972644376895</v>
      </c>
      <c r="I12" s="298"/>
      <c r="J12" s="298"/>
    </row>
    <row r="13" spans="1:10">
      <c r="B13" s="136"/>
      <c r="C13" s="136"/>
      <c r="D13" s="136"/>
      <c r="E13" s="136"/>
      <c r="F13" s="136"/>
      <c r="G13" s="136"/>
      <c r="H13" s="136"/>
    </row>
  </sheetData>
  <phoneticPr fontId="3" type="noConversion"/>
  <hyperlinks>
    <hyperlink ref="I1" location="Contents!A1" display="&gt;&gt; Contents"/>
  </hyperlinks>
  <pageMargins left="0.39370078740157483" right="0.39370078740157483" top="0.39370078740157483" bottom="0.39370078740157483" header="0" footer="0"/>
  <pageSetup paperSize="9" scale="69" fitToHeight="0" orientation="portrait" r:id="rId1"/>
  <headerFooter>
    <oddFooter>&amp;C&amp;"Calibri,Regular"&amp;KFF0000RESTRICTED STATISTICS Not for release until 25 October 2016</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theme="0" tint="-0.249977111117893"/>
    <pageSetUpPr fitToPage="1"/>
  </sheetPr>
  <dimension ref="A1:N29"/>
  <sheetViews>
    <sheetView showGridLines="0" zoomScaleNormal="100" workbookViewId="0"/>
  </sheetViews>
  <sheetFormatPr defaultRowHeight="15.75"/>
  <cols>
    <col min="1" max="1" width="32.140625" style="1" customWidth="1"/>
    <col min="2" max="2" width="17.85546875" style="1" customWidth="1"/>
    <col min="3" max="3" width="9.5703125" style="1" hidden="1" customWidth="1"/>
    <col min="4" max="4" width="17.85546875" style="1" customWidth="1"/>
    <col min="5" max="5" width="9.5703125" style="1" hidden="1" customWidth="1"/>
    <col min="6" max="6" width="17.85546875" style="1" customWidth="1"/>
    <col min="7" max="11" width="10.7109375" style="1" customWidth="1"/>
    <col min="12" max="12" width="10.7109375" style="91" customWidth="1"/>
    <col min="13" max="13" width="10.7109375" style="92" customWidth="1"/>
    <col min="14" max="14" width="10.7109375" style="91" customWidth="1"/>
    <col min="15" max="16" width="10.7109375" style="1" customWidth="1"/>
    <col min="17" max="17" width="10.140625" style="1" bestFit="1" customWidth="1"/>
    <col min="18" max="16384" width="9.140625" style="1"/>
  </cols>
  <sheetData>
    <row r="1" spans="1:14" ht="23.25">
      <c r="A1" s="138" t="str">
        <f>Contents!A1</f>
        <v>Higher Education Student Support in Scotland 2017-18</v>
      </c>
      <c r="B1" s="139"/>
      <c r="C1" s="139"/>
      <c r="D1" s="139"/>
      <c r="E1" s="139"/>
      <c r="F1" s="139"/>
      <c r="G1" s="139"/>
      <c r="H1" s="139"/>
      <c r="I1" s="139"/>
      <c r="J1" s="140" t="s">
        <v>70</v>
      </c>
      <c r="M1" s="91"/>
    </row>
    <row r="2" spans="1:14" ht="18.75">
      <c r="A2" s="60" t="str">
        <f ca="1">CONCATENATE(REPLACE(CELL("Filename",A2),1,FIND("]",CELL("filename",A2)),""),": Key trends of support provided to full-time students")</f>
        <v>Table 3.1: Key trends of support provided to full-time students</v>
      </c>
      <c r="B2" s="33"/>
      <c r="C2" s="33"/>
      <c r="D2" s="33"/>
      <c r="E2" s="33"/>
      <c r="F2" s="33"/>
      <c r="G2" s="33"/>
      <c r="H2" s="33"/>
      <c r="I2" s="33"/>
      <c r="J2" s="59"/>
    </row>
    <row r="3" spans="1:14">
      <c r="A3" s="172"/>
    </row>
    <row r="4" spans="1:14" ht="47.25">
      <c r="A4" s="67"/>
      <c r="B4" s="130" t="str">
        <f>LEFT('Table A1'!M4,7)</f>
        <v>2017-18</v>
      </c>
      <c r="C4" s="130" t="str">
        <f ca="1">OFFSET('Table A1'!M4,0,-1)</f>
        <v>2016-17</v>
      </c>
      <c r="D4" s="130" t="str">
        <f ca="1">CONCATENATE("% change",CHAR(10),C4,CHAR(10),"to ",B4)</f>
        <v>% change
2016-17
to 2017-18</v>
      </c>
      <c r="E4" s="130" t="str">
        <f ca="1">OFFSET('Table A1'!M4,0,-9)</f>
        <v>2008-09</v>
      </c>
      <c r="F4" s="130" t="str">
        <f ca="1">CONCATENATE("% change",CHAR(10),E4,CHAR(10),"to ",B4)</f>
        <v>% change
2008-09
to 2017-18</v>
      </c>
      <c r="L4" s="1"/>
      <c r="M4" s="1"/>
      <c r="N4" s="1"/>
    </row>
    <row r="5" spans="1:14" ht="18.75" customHeight="1">
      <c r="A5" s="68" t="s">
        <v>20</v>
      </c>
      <c r="B5" s="43"/>
      <c r="C5" s="43"/>
      <c r="D5" s="43"/>
      <c r="E5" s="43"/>
      <c r="F5" s="43"/>
      <c r="L5" s="1"/>
      <c r="M5" s="1"/>
      <c r="N5" s="1"/>
    </row>
    <row r="6" spans="1:14" ht="18.75" customHeight="1">
      <c r="A6" s="42" t="s">
        <v>77</v>
      </c>
      <c r="B6" s="43">
        <f>'Table A1'!M6</f>
        <v>147920</v>
      </c>
      <c r="C6" s="43">
        <f ca="1">OFFSET('Table A1'!M6,0,-1)</f>
        <v>143500</v>
      </c>
      <c r="D6" s="133">
        <f ca="1">(B6-C6)/C6</f>
        <v>3.0801393728222996E-2</v>
      </c>
      <c r="E6" s="43">
        <f ca="1">OFFSET('Table A1'!M6,0,-9)</f>
        <v>124845</v>
      </c>
      <c r="F6" s="133">
        <f ca="1">(B6-E6)/E6</f>
        <v>0.18482918819335978</v>
      </c>
      <c r="L6" s="1"/>
      <c r="M6" s="1"/>
      <c r="N6" s="1"/>
    </row>
    <row r="7" spans="1:14" ht="18.75" customHeight="1">
      <c r="A7" s="42" t="s">
        <v>151</v>
      </c>
      <c r="B7" s="226">
        <f>'Table A1'!M7</f>
        <v>882.72776399999998</v>
      </c>
      <c r="C7" s="226">
        <f ca="1">OFFSET('Table A1'!M7,0,-1)</f>
        <v>844.681646</v>
      </c>
      <c r="D7" s="133">
        <f ca="1">(B7-C7)/C7</f>
        <v>4.5041961288217663E-2</v>
      </c>
      <c r="E7" s="226">
        <f ca="1">OFFSET('Table A1'!M7,0,-9)</f>
        <v>482.56700000000001</v>
      </c>
      <c r="F7" s="133">
        <f ca="1">(B7-E7)/E7</f>
        <v>0.82923358621704335</v>
      </c>
      <c r="L7" s="1"/>
      <c r="M7" s="1"/>
      <c r="N7" s="1"/>
    </row>
    <row r="8" spans="1:14" ht="18.75" customHeight="1">
      <c r="A8" s="16" t="s">
        <v>46</v>
      </c>
      <c r="B8" s="131">
        <f>'Table A1'!M8</f>
        <v>5970</v>
      </c>
      <c r="C8" s="131">
        <f ca="1">OFFSET('Table A1'!M8,0,-1)</f>
        <v>5890</v>
      </c>
      <c r="D8" s="134">
        <f ca="1">(B8-C8)/C8</f>
        <v>1.3582342954159592E-2</v>
      </c>
      <c r="E8" s="131">
        <f ca="1">OFFSET('Table A1'!M8,0,-9)</f>
        <v>3870</v>
      </c>
      <c r="F8" s="134">
        <f ca="1">(B8-E8)/E8</f>
        <v>0.54263565891472865</v>
      </c>
      <c r="L8" s="1"/>
      <c r="M8" s="1"/>
      <c r="N8" s="1"/>
    </row>
    <row r="9" spans="1:14" ht="18.75" customHeight="1">
      <c r="A9" s="9"/>
      <c r="B9" s="22"/>
      <c r="C9" s="22"/>
      <c r="D9" s="107"/>
      <c r="E9" s="22"/>
      <c r="F9" s="107"/>
      <c r="L9" s="1"/>
      <c r="M9" s="1"/>
      <c r="N9" s="1"/>
    </row>
    <row r="10" spans="1:14" s="2" customFormat="1">
      <c r="A10" s="2" t="s">
        <v>161</v>
      </c>
      <c r="D10" s="135"/>
      <c r="F10" s="135"/>
      <c r="L10" s="128"/>
      <c r="M10" s="129"/>
      <c r="N10" s="128"/>
    </row>
    <row r="11" spans="1:14">
      <c r="A11" s="21" t="s">
        <v>77</v>
      </c>
      <c r="B11" s="48">
        <f>'Table A1'!M16</f>
        <v>53620</v>
      </c>
      <c r="C11" s="48">
        <f ca="1">OFFSET('Table A1'!M16,0,-1)</f>
        <v>52165</v>
      </c>
      <c r="D11" s="136">
        <f ca="1">(B11-C11)/C11</f>
        <v>2.7892264928591967E-2</v>
      </c>
      <c r="E11" s="48">
        <f ca="1">OFFSET('Table A1'!M16,0,-9)</f>
        <v>57590</v>
      </c>
      <c r="F11" s="136">
        <f ca="1">(B11-E11)/E11</f>
        <v>-6.8935579093592644E-2</v>
      </c>
    </row>
    <row r="12" spans="1:14">
      <c r="A12" s="21" t="s">
        <v>148</v>
      </c>
      <c r="B12" s="227">
        <f>'Table A1'!M17</f>
        <v>76.328935000000001</v>
      </c>
      <c r="C12" s="227">
        <f ca="1">OFFSET('Table A1'!M17,0,-1)</f>
        <v>70.093338000000003</v>
      </c>
      <c r="D12" s="136">
        <f ca="1">(B12-C12)/C12</f>
        <v>8.8961336097304972E-2</v>
      </c>
      <c r="E12" s="227">
        <f ca="1">OFFSET('Table A1'!M17,0,-9)</f>
        <v>104.97499999999999</v>
      </c>
      <c r="F12" s="136">
        <f ca="1">(B12-E12)/E12</f>
        <v>-0.27288463919980943</v>
      </c>
    </row>
    <row r="13" spans="1:14">
      <c r="A13" s="21" t="s">
        <v>173</v>
      </c>
      <c r="B13" s="132">
        <f>'Table A1'!M18</f>
        <v>1420</v>
      </c>
      <c r="C13" s="132">
        <f ca="1">OFFSET('Table A1'!M18,0,-1)</f>
        <v>1340</v>
      </c>
      <c r="D13" s="136">
        <f ca="1">(B13-C13)/C13</f>
        <v>5.9701492537313432E-2</v>
      </c>
      <c r="E13" s="132">
        <f ca="1">OFFSET('Table A1'!M18,0,-9)</f>
        <v>1820</v>
      </c>
      <c r="F13" s="136">
        <f ca="1">(B13-E13)/E13</f>
        <v>-0.21978021978021978</v>
      </c>
    </row>
    <row r="14" spans="1:14">
      <c r="D14" s="136"/>
      <c r="F14" s="136"/>
    </row>
    <row r="15" spans="1:14" s="2" customFormat="1">
      <c r="A15" s="2" t="s">
        <v>41</v>
      </c>
      <c r="D15" s="135"/>
      <c r="F15" s="135"/>
      <c r="L15" s="128"/>
      <c r="M15" s="129"/>
      <c r="N15" s="128"/>
    </row>
    <row r="16" spans="1:14">
      <c r="A16" s="21" t="s">
        <v>77</v>
      </c>
      <c r="B16" s="48">
        <f>'Table A1'!M21</f>
        <v>140240</v>
      </c>
      <c r="C16" s="48">
        <f ca="1">OFFSET('Table A1'!M21,0,-1)</f>
        <v>136385</v>
      </c>
      <c r="D16" s="136">
        <f ca="1">(B16-C16)/C16</f>
        <v>2.8265571727096088E-2</v>
      </c>
      <c r="E16" s="48">
        <f ca="1">OFFSET('Table A1'!M21,0,-9)</f>
        <v>118055</v>
      </c>
      <c r="F16" s="136">
        <f ca="1">(B16-E16)/E16</f>
        <v>0.18792088433357335</v>
      </c>
    </row>
    <row r="17" spans="1:14">
      <c r="A17" s="21" t="s">
        <v>148</v>
      </c>
      <c r="B17" s="227">
        <f>'Table A1'!M22</f>
        <v>278.04942299999999</v>
      </c>
      <c r="C17" s="227">
        <f ca="1">OFFSET('Table A1'!M22,0,-1)</f>
        <v>259.04138399999999</v>
      </c>
      <c r="D17" s="136">
        <f ca="1">(B17-C17)/C17</f>
        <v>7.3378387292742375E-2</v>
      </c>
      <c r="E17" s="227">
        <f ca="1">OFFSET('Table A1'!M22,0,-9)</f>
        <v>190.63800000000001</v>
      </c>
      <c r="F17" s="136">
        <f ca="1">(B17-E17)/E17</f>
        <v>0.45852045762125065</v>
      </c>
    </row>
    <row r="18" spans="1:14">
      <c r="A18" s="21" t="s">
        <v>173</v>
      </c>
      <c r="B18" s="132">
        <f>'Table A1'!M23</f>
        <v>1980</v>
      </c>
      <c r="C18" s="132">
        <f ca="1">OFFSET('Table A1'!M23,0,-1)</f>
        <v>1900</v>
      </c>
      <c r="D18" s="136">
        <f ca="1">(B18-C18)/C18</f>
        <v>4.2105263157894736E-2</v>
      </c>
      <c r="E18" s="132">
        <f ca="1">OFFSET('Table A1'!M23,0,-9)</f>
        <v>1610</v>
      </c>
      <c r="F18" s="136">
        <f ca="1">(B18-E18)/E18</f>
        <v>0.22981366459627328</v>
      </c>
    </row>
    <row r="19" spans="1:14">
      <c r="D19" s="136"/>
      <c r="F19" s="136"/>
    </row>
    <row r="20" spans="1:14" s="2" customFormat="1">
      <c r="A20" s="2" t="s">
        <v>42</v>
      </c>
      <c r="D20" s="135"/>
      <c r="F20" s="135"/>
      <c r="L20" s="128"/>
      <c r="M20" s="129"/>
      <c r="N20" s="128"/>
    </row>
    <row r="21" spans="1:14">
      <c r="A21" s="21" t="s">
        <v>77</v>
      </c>
      <c r="B21" s="48">
        <f>'Table A1'!M26</f>
        <v>99895</v>
      </c>
      <c r="C21" s="48">
        <f ca="1">OFFSET('Table A1'!M26,0,-1)</f>
        <v>97550</v>
      </c>
      <c r="D21" s="136">
        <f ca="1">(B21-C21)/C21</f>
        <v>2.4038954382368017E-2</v>
      </c>
      <c r="E21" s="48">
        <f ca="1">OFFSET('Table A1'!M26,0,-9)</f>
        <v>77170</v>
      </c>
      <c r="F21" s="136">
        <f ca="1">(B21-E21)/E21</f>
        <v>0.29447972009848389</v>
      </c>
    </row>
    <row r="22" spans="1:14">
      <c r="A22" s="21" t="s">
        <v>149</v>
      </c>
      <c r="B22" s="227">
        <f>'Table A1'!M27</f>
        <v>528.35638100000006</v>
      </c>
      <c r="C22" s="227">
        <f ca="1">OFFSET('Table A1'!M27,0,-1)</f>
        <v>515.54629399999999</v>
      </c>
      <c r="D22" s="136">
        <f ca="1">(B22-C22)/C22</f>
        <v>2.4847597876438362E-2</v>
      </c>
      <c r="E22" s="227">
        <f ca="1">OFFSET('Table A1'!M27,0,-9)</f>
        <v>186.95400000000001</v>
      </c>
      <c r="F22" s="136">
        <f ca="1">(B22-E22)/E22</f>
        <v>1.8261303903634052</v>
      </c>
    </row>
    <row r="23" spans="1:14">
      <c r="A23" s="24" t="s">
        <v>150</v>
      </c>
      <c r="B23" s="137">
        <f>'Table A1'!M28</f>
        <v>5290</v>
      </c>
      <c r="C23" s="137">
        <f ca="1">OFFSET('Table A1'!M28,0,-1)</f>
        <v>5280</v>
      </c>
      <c r="D23" s="108">
        <f ca="1">(B23-C23)/C23</f>
        <v>1.893939393939394E-3</v>
      </c>
      <c r="E23" s="137">
        <f ca="1">OFFSET('Table A1'!M28,0,-9)</f>
        <v>2420</v>
      </c>
      <c r="F23" s="108">
        <f ca="1">(B23-E23)/E23</f>
        <v>1.1859504132231404</v>
      </c>
    </row>
    <row r="24" spans="1:14">
      <c r="A24" s="292"/>
    </row>
    <row r="26" spans="1:14">
      <c r="A26" s="2" t="s">
        <v>84</v>
      </c>
    </row>
    <row r="28" spans="1:14">
      <c r="A28" s="56" t="str">
        <f ca="1">'Table A1'!A2</f>
        <v>Table A1: Full-time students type of support provided</v>
      </c>
    </row>
    <row r="29" spans="1:14">
      <c r="A29" s="61" t="str">
        <f ca="1">HYPERLINK(CONCATENATE("#'",LEFT(A28,SEARCH(":",A28)-1),"'!A3"),"&gt;&gt;")</f>
        <v>&gt;&gt;</v>
      </c>
    </row>
  </sheetData>
  <hyperlinks>
    <hyperlink ref="J1" location="Contents!A1" display="&gt;&gt; Contents"/>
  </hyperlinks>
  <pageMargins left="0.39370078740157483" right="0.39370078740157483" top="0.39370078740157483" bottom="0.39370078740157483" header="0" footer="0"/>
  <pageSetup paperSize="9" scale="75" fitToHeight="0" orientation="portrait" r:id="rId1"/>
  <headerFooter>
    <oddFooter>&amp;C&amp;"Calibri,Regular"&amp;KFF0000RESTRICTED STATISTICS Not for release until 25 October 2016</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rgb="FF002060"/>
    <pageSetUpPr fitToPage="1"/>
  </sheetPr>
  <dimension ref="A1:K30"/>
  <sheetViews>
    <sheetView showGridLines="0" workbookViewId="0"/>
  </sheetViews>
  <sheetFormatPr defaultColWidth="10.7109375" defaultRowHeight="15.75"/>
  <cols>
    <col min="1" max="1" width="21.42578125" style="1" customWidth="1"/>
    <col min="2" max="16384" width="10.7109375" style="1"/>
  </cols>
  <sheetData>
    <row r="1" spans="1:11" ht="23.25">
      <c r="A1" s="138" t="str">
        <f>Contents!A1</f>
        <v>Higher Education Student Support in Scotland 2017-18</v>
      </c>
      <c r="B1" s="139"/>
      <c r="C1" s="139"/>
      <c r="D1" s="139"/>
      <c r="E1" s="139"/>
      <c r="F1" s="139"/>
      <c r="G1" s="139"/>
      <c r="H1" s="139"/>
      <c r="I1" s="139"/>
      <c r="J1" s="139"/>
      <c r="K1" s="140" t="s">
        <v>70</v>
      </c>
    </row>
    <row r="2" spans="1:11" ht="18.75">
      <c r="A2" s="60" t="str">
        <f ca="1">CONCATENATE(REPLACE(CELL("Filename",A2),1,FIND("]",CELL("filename",A2)),""),": Full-time supported students by award type and year (number of students)")</f>
        <v>Figure 3.1: Full-time supported students by award type and year (number of students)</v>
      </c>
      <c r="B2" s="33"/>
      <c r="C2" s="33"/>
      <c r="D2" s="33"/>
      <c r="E2" s="33"/>
      <c r="F2" s="33"/>
      <c r="G2" s="33"/>
      <c r="H2" s="33"/>
      <c r="I2" s="33"/>
      <c r="J2" s="33"/>
      <c r="K2" s="59"/>
    </row>
    <row r="3" spans="1:11">
      <c r="A3" s="172"/>
    </row>
    <row r="27" spans="1:1">
      <c r="A27" s="2" t="s">
        <v>74</v>
      </c>
    </row>
    <row r="28" spans="1:1" s="52" customFormat="1"/>
    <row r="29" spans="1:1">
      <c r="A29" s="56" t="str">
        <f ca="1">'Table A1'!A2</f>
        <v>Table A1: Full-time students type of support provided</v>
      </c>
    </row>
    <row r="30" spans="1:1">
      <c r="A30" s="61" t="str">
        <f ca="1">HYPERLINK(CONCATENATE("#'",LEFT(A29,SEARCH(":",A29)-1),"'!A3"),"&gt;&gt;")</f>
        <v>&gt;&gt;</v>
      </c>
    </row>
  </sheetData>
  <hyperlinks>
    <hyperlink ref="K1" location="Contents!A1" display="&gt;&gt; Contents"/>
  </hyperlinks>
  <pageMargins left="0.39370078740157483" right="0.39370078740157483" top="0.39370078740157483" bottom="0.39370078740157483" header="0" footer="0"/>
  <pageSetup paperSize="9" scale="75" fitToHeight="0" orientation="portrait" r:id="rId1"/>
  <headerFooter>
    <oddFooter>&amp;C&amp;"Calibri,Regular"&amp;KFF0000RESTRICTED STATISTICS Not for release until 25 October 2016</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002060"/>
    <pageSetUpPr fitToPage="1"/>
  </sheetPr>
  <dimension ref="A1:K30"/>
  <sheetViews>
    <sheetView showGridLines="0" workbookViewId="0"/>
  </sheetViews>
  <sheetFormatPr defaultColWidth="10.7109375" defaultRowHeight="15.75"/>
  <cols>
    <col min="1" max="1" width="21.42578125" style="1" customWidth="1"/>
    <col min="2" max="16384" width="10.7109375" style="1"/>
  </cols>
  <sheetData>
    <row r="1" spans="1:11" ht="23.25">
      <c r="A1" s="138" t="str">
        <f>Contents!A1</f>
        <v>Higher Education Student Support in Scotland 2017-18</v>
      </c>
      <c r="B1" s="139"/>
      <c r="C1" s="139"/>
      <c r="D1" s="139"/>
      <c r="E1" s="139"/>
      <c r="F1" s="139"/>
      <c r="G1" s="139"/>
      <c r="H1" s="139"/>
      <c r="I1" s="139"/>
      <c r="J1" s="139"/>
      <c r="K1" s="140" t="s">
        <v>70</v>
      </c>
    </row>
    <row r="2" spans="1:11" ht="18.75">
      <c r="A2" s="60" t="str">
        <f ca="1">CONCATENATE(REPLACE(CELL("Filename",A2),1,FIND("]",CELL("filename",A2)),""),": Full-time supported students by award type and year (amount paid)")</f>
        <v>Figure 3.2: Full-time supported students by award type and year (amount paid)</v>
      </c>
      <c r="B2" s="33"/>
      <c r="C2" s="33"/>
      <c r="D2" s="33"/>
      <c r="E2" s="33"/>
      <c r="F2" s="33"/>
      <c r="G2" s="33"/>
      <c r="H2" s="33"/>
      <c r="I2" s="33"/>
      <c r="J2" s="33"/>
      <c r="K2" s="59"/>
    </row>
    <row r="3" spans="1:11">
      <c r="A3" s="172"/>
    </row>
    <row r="27" spans="1:1">
      <c r="A27" s="2" t="s">
        <v>74</v>
      </c>
    </row>
    <row r="28" spans="1:1" s="52" customFormat="1"/>
    <row r="29" spans="1:1">
      <c r="A29" s="56" t="str">
        <f ca="1">'Table A1'!A2</f>
        <v>Table A1: Full-time students type of support provided</v>
      </c>
    </row>
    <row r="30" spans="1:1">
      <c r="A30" s="61" t="str">
        <f ca="1">HYPERLINK(CONCATENATE("#'",LEFT(A29,SEARCH(":",A29)-1),"'!A3"),"&gt;&gt;")</f>
        <v>&gt;&gt;</v>
      </c>
    </row>
  </sheetData>
  <hyperlinks>
    <hyperlink ref="K1" location="Contents!A1" display="&gt;&gt; Contents"/>
  </hyperlinks>
  <pageMargins left="0.39370078740157483" right="0.39370078740157483" top="0.39370078740157483" bottom="0.39370078740157483" header="0" footer="0"/>
  <pageSetup paperSize="9" scale="75" fitToHeight="0" orientation="portrait" r:id="rId1"/>
  <headerFooter>
    <oddFooter>&amp;C&amp;"Calibri,Regular"&amp;KFF0000RESTRICTED STATISTICS Not for release until 25 October 2016</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rgb="FF002060"/>
    <pageSetUpPr fitToPage="1"/>
  </sheetPr>
  <dimension ref="A1:K29"/>
  <sheetViews>
    <sheetView showGridLines="0" zoomScaleNormal="100" workbookViewId="0"/>
  </sheetViews>
  <sheetFormatPr defaultColWidth="10.7109375" defaultRowHeight="15.75"/>
  <cols>
    <col min="1" max="1" width="21.42578125" style="1" customWidth="1"/>
    <col min="2" max="16384" width="10.7109375" style="1"/>
  </cols>
  <sheetData>
    <row r="1" spans="1:11" ht="23.25">
      <c r="A1" s="138" t="str">
        <f>Contents!A1</f>
        <v>Higher Education Student Support in Scotland 2017-18</v>
      </c>
      <c r="B1" s="139"/>
      <c r="C1" s="139"/>
      <c r="D1" s="139"/>
      <c r="E1" s="139"/>
      <c r="F1" s="139"/>
      <c r="G1" s="139"/>
      <c r="H1" s="139"/>
      <c r="I1" s="139"/>
      <c r="J1" s="139"/>
      <c r="K1" s="140" t="s">
        <v>70</v>
      </c>
    </row>
    <row r="2" spans="1:11" ht="18.75">
      <c r="A2" s="60" t="str">
        <f ca="1">CONCATENATE(REPLACE(CELL("Filename",A2),1,FIND("]",CELL("filename",A2)),""),": Full-time students total support by domicile of student")</f>
        <v>Figure 3.3: Full-time students total support by domicile of student</v>
      </c>
      <c r="B2" s="33"/>
      <c r="C2" s="33"/>
      <c r="D2" s="33"/>
      <c r="E2" s="33"/>
      <c r="F2" s="33"/>
      <c r="G2" s="33"/>
      <c r="H2" s="33"/>
      <c r="I2" s="33"/>
      <c r="J2" s="33"/>
      <c r="K2" s="59"/>
    </row>
    <row r="3" spans="1:11">
      <c r="A3" s="172"/>
    </row>
    <row r="21" spans="1:6">
      <c r="A21" s="2" t="s">
        <v>74</v>
      </c>
    </row>
    <row r="22" spans="1:6" s="52" customFormat="1"/>
    <row r="23" spans="1:6">
      <c r="A23" s="56" t="str">
        <f ca="1">'Table A2'!A2</f>
        <v>Table A2: Full-time students domicile of student</v>
      </c>
    </row>
    <row r="24" spans="1:6">
      <c r="A24" s="61" t="str">
        <f ca="1">HYPERLINK(CONCATENATE("#'",LEFT(A23,SEARCH(":",A23)-1),"'!A3"),"&gt;&gt;")</f>
        <v>&gt;&gt;</v>
      </c>
    </row>
    <row r="25" spans="1:6">
      <c r="A25" s="61"/>
    </row>
    <row r="26" spans="1:6" s="100" customFormat="1" hidden="1">
      <c r="B26" s="101" t="s">
        <v>77</v>
      </c>
      <c r="C26" s="101"/>
      <c r="D26" s="101" t="s">
        <v>131</v>
      </c>
      <c r="E26" s="101"/>
      <c r="F26" s="101" t="s">
        <v>132</v>
      </c>
    </row>
    <row r="27" spans="1:6" s="100" customFormat="1" hidden="1">
      <c r="A27" s="102" t="s">
        <v>29</v>
      </c>
      <c r="B27" s="100" t="str">
        <f>TEXT('Table A2'!M6,"#,###")</f>
        <v>147,920</v>
      </c>
      <c r="D27" s="100" t="str">
        <f>CONCATENATE(TEXT('Table A2'!M7,"£#,###.0")," million")</f>
        <v>£882.7 million</v>
      </c>
      <c r="F27" s="100" t="str">
        <f>TEXT('Table A2'!M8,"£#,###")</f>
        <v>£5,970</v>
      </c>
    </row>
    <row r="28" spans="1:6" s="100" customFormat="1" hidden="1">
      <c r="A28" s="102" t="str">
        <f>'Table A2'!A10</f>
        <v>Scottish Domiciles</v>
      </c>
      <c r="B28" s="100" t="str">
        <f>TEXT('Table A2'!M11,"#,###")</f>
        <v>132,680</v>
      </c>
      <c r="D28" s="100" t="str">
        <f>CONCATENATE(TEXT('Table A2'!M12,"£#,###.0")," million")</f>
        <v>£850.8 million</v>
      </c>
      <c r="F28" s="100" t="str">
        <f>TEXT('Table A2'!M13,"£#,###")</f>
        <v>£6,410</v>
      </c>
    </row>
    <row r="29" spans="1:6" s="100" customFormat="1" hidden="1">
      <c r="A29" s="102" t="str">
        <f>'Table A2'!A17</f>
        <v>EU Domiciles</v>
      </c>
      <c r="B29" s="100" t="str">
        <f>TEXT('Table A2'!M18,"#,###")</f>
        <v>15,240</v>
      </c>
      <c r="D29" s="100" t="str">
        <f>CONCATENATE(TEXT('Table A2'!M19,"£#,###.0")," million")</f>
        <v>£32.0 million</v>
      </c>
      <c r="F29" s="100" t="str">
        <f>TEXT('Table A2'!M20,"£#,###")</f>
        <v>£2,100</v>
      </c>
    </row>
  </sheetData>
  <hyperlinks>
    <hyperlink ref="K1" location="Contents!A1" display="&gt;&gt; Contents"/>
  </hyperlinks>
  <pageMargins left="0.39370078740157483" right="0.39370078740157483" top="0.39370078740157483" bottom="0.39370078740157483" header="0" footer="0"/>
  <pageSetup paperSize="9" scale="75" fitToHeight="0" orientation="portrait" r:id="rId1"/>
  <headerFooter>
    <oddFooter>&amp;C&amp;"Calibri,Regular"&amp;KFF0000RESTRICTED STATISTICS Not for release until 25 October 2016</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002060"/>
    <pageSetUpPr fitToPage="1"/>
  </sheetPr>
  <dimension ref="A1:K36"/>
  <sheetViews>
    <sheetView showGridLines="0" zoomScaleNormal="100" workbookViewId="0"/>
  </sheetViews>
  <sheetFormatPr defaultColWidth="10.7109375" defaultRowHeight="15.75"/>
  <cols>
    <col min="1" max="1" width="21.42578125" style="1" customWidth="1"/>
    <col min="2" max="16384" width="10.7109375" style="1"/>
  </cols>
  <sheetData>
    <row r="1" spans="1:11" ht="23.25">
      <c r="A1" s="138" t="str">
        <f>Contents!A1</f>
        <v>Higher Education Student Support in Scotland 2017-18</v>
      </c>
      <c r="B1" s="139"/>
      <c r="C1" s="139"/>
      <c r="D1" s="139"/>
      <c r="E1" s="139"/>
      <c r="F1" s="139"/>
      <c r="G1" s="139"/>
      <c r="H1" s="139"/>
      <c r="I1" s="139"/>
      <c r="J1" s="139"/>
      <c r="K1" s="140" t="s">
        <v>70</v>
      </c>
    </row>
    <row r="2" spans="1:11" ht="18.75">
      <c r="A2" s="60" t="str">
        <f ca="1">CONCATENATE(REPLACE(CELL("Filename",A2),1,FIND("]",CELL("filename",A2)),""),": Full-time students location of study by institution type")</f>
        <v>Figure 3.4: Full-time students location of study by institution type</v>
      </c>
      <c r="B2" s="33"/>
      <c r="C2" s="33"/>
      <c r="D2" s="33"/>
      <c r="E2" s="33"/>
      <c r="F2" s="33"/>
      <c r="G2" s="33"/>
      <c r="H2" s="33"/>
      <c r="I2" s="33"/>
      <c r="J2" s="33"/>
      <c r="K2" s="59"/>
    </row>
    <row r="3" spans="1:11">
      <c r="A3" s="172"/>
    </row>
    <row r="22" spans="1:5">
      <c r="A22" s="2" t="s">
        <v>74</v>
      </c>
    </row>
    <row r="23" spans="1:5" s="52" customFormat="1"/>
    <row r="24" spans="1:5">
      <c r="A24" s="56" t="str">
        <f ca="1">'Table A3'!A2</f>
        <v>Table A3: Full-time students location of study by institution type</v>
      </c>
    </row>
    <row r="25" spans="1:5">
      <c r="A25" s="61" t="str">
        <f ca="1">HYPERLINK(CONCATENATE("#'",LEFT(A24,SEARCH(":",A24)-1),"'!A3"),"&gt;&gt;")</f>
        <v>&gt;&gt;</v>
      </c>
    </row>
    <row r="27" spans="1:5" s="100" customFormat="1" hidden="1">
      <c r="A27" s="101" t="str">
        <f>'Table A3'!A10</f>
        <v>In Scotland</v>
      </c>
      <c r="B27" s="103">
        <f>'Table A3'!M10</f>
        <v>143550</v>
      </c>
      <c r="C27" s="104">
        <f>B27/SUM(B$27,B$32)</f>
        <v>0.97042420145343922</v>
      </c>
      <c r="E27" s="100" t="str">
        <f>CONCATENATE(TEXT(B27,"#,###")," (",TEXT(C27,"0.0%"),")")</f>
        <v>143,550 (97.0%)</v>
      </c>
    </row>
    <row r="28" spans="1:5" s="100" customFormat="1" hidden="1">
      <c r="A28" s="105" t="str">
        <f>'Table A3'!A11</f>
        <v>Universities</v>
      </c>
      <c r="B28" s="103">
        <f>'Table A3'!M11</f>
        <v>112305</v>
      </c>
      <c r="C28" s="104">
        <f>B28/SUM(B$27,B$32)</f>
        <v>0.75920229846205844</v>
      </c>
      <c r="E28" s="100" t="str">
        <f>CONCATENATE(TEXT(B28,"#,###")," (",TEXT(C28,"0.0%"),")")</f>
        <v>112,305 (75.9%)</v>
      </c>
    </row>
    <row r="29" spans="1:5" s="100" customFormat="1" hidden="1">
      <c r="A29" s="105" t="str">
        <f>'Table A3'!A12</f>
        <v>Colleges</v>
      </c>
      <c r="B29" s="103">
        <f>'Table A3'!M12</f>
        <v>30785</v>
      </c>
      <c r="C29" s="104">
        <f>B29/SUM(B$27,B$32)</f>
        <v>0.20811221902991381</v>
      </c>
      <c r="E29" s="100" t="str">
        <f>CONCATENATE(TEXT(B29,"#,###")," (",TEXT(C29,"0.0%"),")")</f>
        <v>30,785 (20.8%)</v>
      </c>
    </row>
    <row r="30" spans="1:5" s="100" customFormat="1" hidden="1">
      <c r="A30" s="105" t="str">
        <f>'Table A3'!A13</f>
        <v>Other</v>
      </c>
      <c r="B30" s="103">
        <f>'Table A3'!M13</f>
        <v>460</v>
      </c>
      <c r="C30" s="104">
        <f>B30/SUM(B$27,B$32)</f>
        <v>3.1096839614669597E-3</v>
      </c>
      <c r="E30" s="100" t="str">
        <f>CONCATENATE(TEXT(B30,"#,###")," (",TEXT(C30,"0.0%"),")")</f>
        <v>460 (0.3%)</v>
      </c>
    </row>
    <row r="31" spans="1:5" s="100" customFormat="1" hidden="1">
      <c r="B31" s="103"/>
    </row>
    <row r="32" spans="1:5" s="100" customFormat="1" hidden="1">
      <c r="A32" s="101" t="str">
        <f>'Table A3'!A15</f>
        <v>Outwith Scotland</v>
      </c>
      <c r="B32" s="103">
        <f>'Table A3'!M15</f>
        <v>4375</v>
      </c>
      <c r="C32" s="104">
        <f>B32/SUM(B$27,B$32)</f>
        <v>2.9575798546560759E-2</v>
      </c>
      <c r="E32" s="100" t="str">
        <f>CONCATENATE(TEXT(B32,"#,###")," (",TEXT(C32,"0.0%"),")")</f>
        <v>4,375 (3.0%)</v>
      </c>
    </row>
    <row r="33" spans="1:5" s="100" customFormat="1" hidden="1">
      <c r="A33" s="105" t="str">
        <f>'Table A3'!A16</f>
        <v>Universities</v>
      </c>
      <c r="B33" s="103">
        <f>'Table A3'!M16</f>
        <v>4055</v>
      </c>
      <c r="C33" s="104">
        <f>B33/SUM(B$27,B$32)</f>
        <v>2.7412540138583741E-2</v>
      </c>
      <c r="E33" s="100" t="str">
        <f>CONCATENATE(TEXT(B33,"#,###")," (",TEXT(C33,"0.0%"),")")</f>
        <v>4,055 (2.7%)</v>
      </c>
    </row>
    <row r="34" spans="1:5" s="100" customFormat="1" hidden="1">
      <c r="A34" s="105" t="str">
        <f>'Table A3'!A17</f>
        <v>Colleges</v>
      </c>
      <c r="B34" s="103">
        <f>'Table A3'!M17</f>
        <v>195</v>
      </c>
      <c r="C34" s="104">
        <f>B34/SUM(B$27,B$32)</f>
        <v>1.3182355923609937E-3</v>
      </c>
      <c r="E34" s="100" t="str">
        <f>CONCATENATE(TEXT(B34,"#,###")," (",TEXT(C34,"0.0%"),")")</f>
        <v>195 (0.1%)</v>
      </c>
    </row>
    <row r="35" spans="1:5" s="100" customFormat="1" hidden="1">
      <c r="A35" s="105" t="str">
        <f>'Table A3'!A18</f>
        <v>Other</v>
      </c>
      <c r="B35" s="103">
        <f>'Table A3'!M18</f>
        <v>120</v>
      </c>
      <c r="C35" s="104">
        <f>B35/SUM(B$27,B$32)</f>
        <v>8.1122190299138077E-4</v>
      </c>
      <c r="E35" s="100" t="str">
        <f>CONCATENATE(TEXT(B35,"#,###")," (",TEXT(C35,"0.0%"),")")</f>
        <v>120 (0.1%)</v>
      </c>
    </row>
    <row r="36" spans="1:5" hidden="1"/>
  </sheetData>
  <hyperlinks>
    <hyperlink ref="K1" location="Contents!A1" display="&gt;&gt; Contents"/>
  </hyperlinks>
  <pageMargins left="0.39370078740157483" right="0.39370078740157483" top="0.39370078740157483" bottom="0.39370078740157483" header="0" footer="0"/>
  <pageSetup paperSize="9" scale="75" fitToHeight="0" orientation="portrait" r:id="rId1"/>
  <headerFooter>
    <oddFooter>&amp;C&amp;"Calibri,Regular"&amp;KFF0000RESTRICTED STATISTICS Not for release until 25 October 2016</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2060"/>
    <pageSetUpPr fitToPage="1"/>
  </sheetPr>
  <dimension ref="A1:K29"/>
  <sheetViews>
    <sheetView showGridLines="0" workbookViewId="0"/>
  </sheetViews>
  <sheetFormatPr defaultColWidth="10.7109375" defaultRowHeight="15.75"/>
  <cols>
    <col min="1" max="1" width="21.42578125" style="1" customWidth="1"/>
    <col min="2" max="16384" width="10.7109375" style="1"/>
  </cols>
  <sheetData>
    <row r="1" spans="1:11" ht="23.25">
      <c r="A1" s="138" t="str">
        <f>Contents!A1</f>
        <v>Higher Education Student Support in Scotland 2017-18</v>
      </c>
      <c r="B1" s="139"/>
      <c r="C1" s="139"/>
      <c r="D1" s="139"/>
      <c r="E1" s="139"/>
      <c r="F1" s="139"/>
      <c r="G1" s="139"/>
      <c r="H1" s="139"/>
      <c r="I1" s="139"/>
      <c r="J1" s="139"/>
      <c r="K1" s="140" t="s">
        <v>70</v>
      </c>
    </row>
    <row r="2" spans="1:11" ht="18.75">
      <c r="A2" s="60" t="str">
        <f ca="1">CONCATENATE(REPLACE(CELL("Filename",A2),1,FIND("]",CELL("filename",A2)),""),": Full-time students age by gender")</f>
        <v>Figure 3.5: Full-time students age by gender</v>
      </c>
      <c r="B2" s="33"/>
      <c r="C2" s="33"/>
      <c r="D2" s="33"/>
      <c r="E2" s="33"/>
      <c r="F2" s="33"/>
      <c r="G2" s="33"/>
      <c r="H2" s="33"/>
      <c r="I2" s="33"/>
      <c r="J2" s="33"/>
      <c r="K2" s="59"/>
    </row>
    <row r="3" spans="1:11">
      <c r="A3" s="172"/>
    </row>
    <row r="26" spans="1:1" s="52" customFormat="1">
      <c r="A26" s="55" t="s">
        <v>74</v>
      </c>
    </row>
    <row r="28" spans="1:1">
      <c r="A28" s="56" t="str">
        <f ca="1">'Table A5'!A2</f>
        <v>Table A5: Full-time students age by gender</v>
      </c>
    </row>
    <row r="29" spans="1:1">
      <c r="A29" s="61" t="str">
        <f ca="1">HYPERLINK(CONCATENATE("#'",LEFT(A28,SEARCH(":",A28)-1),"'!A3"),"&gt;&gt;")</f>
        <v>&gt;&gt;</v>
      </c>
    </row>
  </sheetData>
  <hyperlinks>
    <hyperlink ref="K1" location="Contents!A1" display="&gt;&gt; Contents"/>
  </hyperlinks>
  <pageMargins left="0.39370078740157483" right="0.39370078740157483" top="0.39370078740157483" bottom="0.39370078740157483" header="0" footer="0"/>
  <pageSetup paperSize="9" scale="75" fitToHeight="0" orientation="portrait" r:id="rId1"/>
  <headerFooter>
    <oddFooter>&amp;C&amp;"Calibri,Regular"&amp;KFF0000RESTRICTED STATISTICS Not for release until 25 October 2016</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A22474242</value>
    </field>
    <field name="Objective-Title">
      <value order="0">SAAS - Statistics - Higher Education Student Support in Scotland 2017-18 - Report - Draft - 05 Tables without workings</value>
    </field>
    <field name="Objective-Description">
      <value order="0"/>
    </field>
    <field name="Objective-CreationStamp">
      <value order="0">2018-10-23T10:21:39Z</value>
    </field>
    <field name="Objective-IsApproved">
      <value order="0">false</value>
    </field>
    <field name="Objective-IsPublished">
      <value order="0">false</value>
    </field>
    <field name="Objective-DatePublished">
      <value order="0"/>
    </field>
    <field name="Objective-ModificationStamp">
      <value order="0">2018-10-23T10:47:46Z</value>
    </field>
    <field name="Objective-Owner">
      <value order="0">MacLeod, David D (U417195)</value>
    </field>
    <field name="Objective-Path">
      <value order="0">Objective Global Folder:SG File Plan:Education, careers and employment:Education and skills:Student finance:Research and analysis: Student finance:Student Awards Agency Scotland (SAAS): Chief Executive Office - Statistics - Dissemination - Pre-released Restricted Documents: 2014-2019</value>
    </field>
    <field name="Objective-Parent">
      <value order="0">Student Awards Agency Scotland (SAAS): Chief Executive Office - Statistics - Dissemination - Pre-released Restricted Documents: 2014-2019</value>
    </field>
    <field name="Objective-State">
      <value order="0">Being Drafted</value>
    </field>
    <field name="Objective-VersionId">
      <value order="0">vA31804385</value>
    </field>
    <field name="Objective-Version">
      <value order="0">0.1</value>
    </field>
    <field name="Objective-VersionNumber">
      <value order="0">1</value>
    </field>
    <field name="Objective-VersionComment">
      <value order="0"/>
    </field>
    <field name="Objective-FileNumber">
      <value order="0">qA401463</value>
    </field>
    <field name="Objective-Classification">
      <value order="0">OFFICIAL-SENSITIVE</value>
    </field>
    <field name="Objective-Caveats">
      <value order="0">Caveat for access to SG Fileplan</value>
    </field>
  </systemFields>
  <catalogues>
    <catalogue name="Document Type Catalogue" type="type" ori="id:cA35">
      <field name="Objective-Connect Creator">
        <value order="0"/>
      </field>
      <field name="Objective-Date Received">
        <value order="0"/>
      </field>
      <field name="Objective-Date of Original">
        <value order="0"/>
      </field>
      <field name="Objective-SG Web Publication - Category">
        <value order="0"/>
      </field>
      <field name="Objective-SG Web Publication - Category 2 Classification">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39</vt:i4>
      </vt:variant>
      <vt:variant>
        <vt:lpstr>Named Ranges</vt:lpstr>
      </vt:variant>
      <vt:variant>
        <vt:i4>14</vt:i4>
      </vt:variant>
    </vt:vector>
  </HeadingPairs>
  <TitlesOfParts>
    <vt:vector size="53" baseType="lpstr">
      <vt:lpstr>Contents</vt:lpstr>
      <vt:lpstr>Notes</vt:lpstr>
      <vt:lpstr>Figure 1.1</vt:lpstr>
      <vt:lpstr>Table 3.1</vt:lpstr>
      <vt:lpstr>Figure 3.1</vt:lpstr>
      <vt:lpstr>Figure 3.2</vt:lpstr>
      <vt:lpstr>Figure 3.3</vt:lpstr>
      <vt:lpstr>Figure 3.4</vt:lpstr>
      <vt:lpstr>Figure 3.5</vt:lpstr>
      <vt:lpstr>Figure 3.6</vt:lpstr>
      <vt:lpstr>Figure 3.7</vt:lpstr>
      <vt:lpstr>Figure 3.8</vt:lpstr>
      <vt:lpstr>Figure 3.9</vt:lpstr>
      <vt:lpstr>Figure 3.10</vt:lpstr>
      <vt:lpstr>Figure 3.11</vt:lpstr>
      <vt:lpstr>Figure 3.12</vt:lpstr>
      <vt:lpstr>Table 4.1</vt:lpstr>
      <vt:lpstr>Table 4.2</vt:lpstr>
      <vt:lpstr>Table 5.1</vt:lpstr>
      <vt:lpstr>Figure 5.1</vt:lpstr>
      <vt:lpstr>Figure 5.2</vt:lpstr>
      <vt:lpstr>Figure 6.1</vt:lpstr>
      <vt:lpstr>Table 6.1</vt:lpstr>
      <vt:lpstr>Table 6.2</vt:lpstr>
      <vt:lpstr>Table A1</vt:lpstr>
      <vt:lpstr>Table A2</vt:lpstr>
      <vt:lpstr>Table A3</vt:lpstr>
      <vt:lpstr>Table A4</vt:lpstr>
      <vt:lpstr>Table A5</vt:lpstr>
      <vt:lpstr>Table A6</vt:lpstr>
      <vt:lpstr>Table A7</vt:lpstr>
      <vt:lpstr>Table A8</vt:lpstr>
      <vt:lpstr>Table A9</vt:lpstr>
      <vt:lpstr>Table A10</vt:lpstr>
      <vt:lpstr>Table A11</vt:lpstr>
      <vt:lpstr>Table A12</vt:lpstr>
      <vt:lpstr>Table A13</vt:lpstr>
      <vt:lpstr>Figure A1</vt:lpstr>
      <vt:lpstr>Table A14</vt:lpstr>
      <vt:lpstr>Contents!Print_Area</vt:lpstr>
      <vt:lpstr>Notes!Print_Area</vt:lpstr>
      <vt:lpstr>'Table 3.1'!Print_Area</vt:lpstr>
      <vt:lpstr>'Table A1'!Print_Area</vt:lpstr>
      <vt:lpstr>'Table A10'!Print_Area</vt:lpstr>
      <vt:lpstr>'Table A11'!Print_Area</vt:lpstr>
      <vt:lpstr>'Table A12'!Print_Area</vt:lpstr>
      <vt:lpstr>'Table A13'!Print_Area</vt:lpstr>
      <vt:lpstr>'Table A2'!Print_Area</vt:lpstr>
      <vt:lpstr>'Table A3'!Print_Area</vt:lpstr>
      <vt:lpstr>'Table A5'!Print_Area</vt:lpstr>
      <vt:lpstr>'Table A7'!Print_Area</vt:lpstr>
      <vt:lpstr>'Table A8'!Print_Area</vt:lpstr>
      <vt:lpstr>'Table A9'!Print_Area</vt:lpstr>
    </vt:vector>
  </TitlesOfParts>
  <Company>Scottish Executive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u209450</dc:creator>
  <cp:lastModifiedBy>u202947</cp:lastModifiedBy>
  <cp:lastPrinted>2018-10-10T08:20:04Z</cp:lastPrinted>
  <dcterms:created xsi:type="dcterms:W3CDTF">2010-07-29T14:27:29Z</dcterms:created>
  <dcterms:modified xsi:type="dcterms:W3CDTF">2018-10-25T14:12:06Z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Id">
    <vt:lpwstr>A22474242</vt:lpwstr>
  </property>
  <property fmtid="{D5CDD505-2E9C-101B-9397-08002B2CF9AE}" pid="3" name="Objective-Title">
    <vt:lpwstr>SAAS - Statistics - Higher Education Student Support in Scotland 2017-18 - Report - Draft - 05 Tables without workings</vt:lpwstr>
  </property>
  <property fmtid="{D5CDD505-2E9C-101B-9397-08002B2CF9AE}" pid="4" name="Objective-Comment">
    <vt:lpwstr/>
  </property>
  <property fmtid="{D5CDD505-2E9C-101B-9397-08002B2CF9AE}" pid="5" name="Objective-CreationStamp">
    <vt:filetime>2018-10-23T10:47:45Z</vt:filetime>
  </property>
  <property fmtid="{D5CDD505-2E9C-101B-9397-08002B2CF9AE}" pid="6" name="Objective-IsApproved">
    <vt:bool>false</vt:bool>
  </property>
  <property fmtid="{D5CDD505-2E9C-101B-9397-08002B2CF9AE}" pid="7" name="Objective-IsPublished">
    <vt:bool>false</vt:bool>
  </property>
  <property fmtid="{D5CDD505-2E9C-101B-9397-08002B2CF9AE}" pid="8" name="Objective-DatePublished">
    <vt:lpwstr/>
  </property>
  <property fmtid="{D5CDD505-2E9C-101B-9397-08002B2CF9AE}" pid="9" name="Objective-ModificationStamp">
    <vt:filetime>2018-10-23T10:47:47Z</vt:filetime>
  </property>
  <property fmtid="{D5CDD505-2E9C-101B-9397-08002B2CF9AE}" pid="10" name="Objective-Owner">
    <vt:lpwstr>MacLeod, David D (U417195)</vt:lpwstr>
  </property>
  <property fmtid="{D5CDD505-2E9C-101B-9397-08002B2CF9AE}" pid="11" name="Objective-Path">
    <vt:lpwstr>Objective Global Folder:SG File Plan:Education, careers and employment:Education and skills:Student finance:Research and analysis: Student finance:Student Awards Agency Scotland (SAAS): Chief Executive Office - Statistics - Dissemination - Pre-released Re</vt:lpwstr>
  </property>
  <property fmtid="{D5CDD505-2E9C-101B-9397-08002B2CF9AE}" pid="12" name="Objective-Parent">
    <vt:lpwstr>Student Awards Agency Scotland (SAAS): Chief Executive Office - Statistics - Dissemination - Pre-released Restricted Documents: 2014-2019</vt:lpwstr>
  </property>
  <property fmtid="{D5CDD505-2E9C-101B-9397-08002B2CF9AE}" pid="13" name="Objective-State">
    <vt:lpwstr>Being Drafted</vt:lpwstr>
  </property>
  <property fmtid="{D5CDD505-2E9C-101B-9397-08002B2CF9AE}" pid="14" name="Objective-Version">
    <vt:lpwstr>0.1</vt:lpwstr>
  </property>
  <property fmtid="{D5CDD505-2E9C-101B-9397-08002B2CF9AE}" pid="15" name="Objective-VersionNumber">
    <vt:r8>1</vt:r8>
  </property>
  <property fmtid="{D5CDD505-2E9C-101B-9397-08002B2CF9AE}" pid="16" name="Objective-VersionComment">
    <vt:lpwstr>First version</vt:lpwstr>
  </property>
  <property fmtid="{D5CDD505-2E9C-101B-9397-08002B2CF9AE}" pid="17" name="Objective-FileNumber">
    <vt:lpwstr/>
  </property>
  <property fmtid="{D5CDD505-2E9C-101B-9397-08002B2CF9AE}" pid="18" name="Objective-Classification">
    <vt:lpwstr>[Inherited - OFFICIAL-SENSITIVE]</vt:lpwstr>
  </property>
  <property fmtid="{D5CDD505-2E9C-101B-9397-08002B2CF9AE}" pid="19" name="Objective-Caveats">
    <vt:lpwstr/>
  </property>
  <property fmtid="{D5CDD505-2E9C-101B-9397-08002B2CF9AE}" pid="20" name="Objective-Date of Original [system]">
    <vt:lpwstr/>
  </property>
  <property fmtid="{D5CDD505-2E9C-101B-9397-08002B2CF9AE}" pid="21" name="Objective-Date Received [system]">
    <vt:lpwstr/>
  </property>
  <property fmtid="{D5CDD505-2E9C-101B-9397-08002B2CF9AE}" pid="22" name="Objective-SG Web Publication - Category [system]">
    <vt:lpwstr/>
  </property>
  <property fmtid="{D5CDD505-2E9C-101B-9397-08002B2CF9AE}" pid="23" name="Objective-SG Web Publication - Category 2 Classification [system]">
    <vt:lpwstr/>
  </property>
  <property fmtid="{D5CDD505-2E9C-101B-9397-08002B2CF9AE}" pid="24" name="Objective-Description">
    <vt:lpwstr/>
  </property>
  <property fmtid="{D5CDD505-2E9C-101B-9397-08002B2CF9AE}" pid="25" name="Objective-VersionId">
    <vt:lpwstr>vA31804385</vt:lpwstr>
  </property>
  <property fmtid="{D5CDD505-2E9C-101B-9397-08002B2CF9AE}" pid="26" name="Objective-Date Received">
    <vt:lpwstr/>
  </property>
  <property fmtid="{D5CDD505-2E9C-101B-9397-08002B2CF9AE}" pid="27" name="Objective-Date of Original">
    <vt:lpwstr/>
  </property>
  <property fmtid="{D5CDD505-2E9C-101B-9397-08002B2CF9AE}" pid="28" name="Objective-SG Web Publication - Category">
    <vt:lpwstr/>
  </property>
  <property fmtid="{D5CDD505-2E9C-101B-9397-08002B2CF9AE}" pid="29" name="Objective-SG Web Publication - Category 2 Classification">
    <vt:lpwstr/>
  </property>
  <property fmtid="{D5CDD505-2E9C-101B-9397-08002B2CF9AE}" pid="30" name="Objective-Connect Creator">
    <vt:lpwstr/>
  </property>
  <property fmtid="{D5CDD505-2E9C-101B-9397-08002B2CF9AE}" pid="31" name="Objective-Connect Creator [system]">
    <vt:lpwstr/>
  </property>
</Properties>
</file>